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ASFAND\Endri\HANC New Elementary and Middle School\01-17-2023 - Masonry\DELIVERABLES\"/>
    </mc:Choice>
  </mc:AlternateContent>
  <bookViews>
    <workbookView xWindow="0" yWindow="0" windowWidth="28800" windowHeight="12330" activeTab="1"/>
  </bookViews>
  <sheets>
    <sheet name="SUMMARY" sheetId="2" r:id="rId1"/>
    <sheet name="MASONRY ESTIMATE" sheetId="3" r:id="rId2"/>
  </sheets>
  <definedNames>
    <definedName name="_xlnm._FilterDatabase" localSheetId="1" hidden="1">'MASONRY ESTIMATE'!$J$1:$J$416</definedName>
    <definedName name="_xlnm.Print_Area" localSheetId="1">'MASONRY ESTIMATE'!$A$1:$L$416</definedName>
    <definedName name="_xlnm.Print_Area" localSheetId="0">SUMMARY!$A$1:$E$24</definedName>
    <definedName name="_xlnm.Print_Titles" localSheetId="1">'MASONRY ESTIMATE'!$1:$7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3" l="1"/>
  <c r="A19" i="3"/>
  <c r="A21" i="3"/>
  <c r="A23" i="3"/>
  <c r="A24" i="3"/>
  <c r="A26" i="3"/>
  <c r="A28" i="3"/>
  <c r="A30" i="3"/>
  <c r="A32" i="3"/>
  <c r="A34" i="3"/>
  <c r="A35" i="3"/>
  <c r="A37" i="3"/>
  <c r="A39" i="3"/>
  <c r="A41" i="3"/>
  <c r="A43" i="3"/>
  <c r="A45" i="3"/>
  <c r="A46" i="3"/>
  <c r="A48" i="3"/>
  <c r="A50" i="3"/>
  <c r="A52" i="3"/>
  <c r="A54" i="3"/>
  <c r="A56" i="3"/>
  <c r="A57" i="3"/>
  <c r="A59" i="3"/>
  <c r="A61" i="3"/>
  <c r="A63" i="3"/>
  <c r="A65" i="3"/>
  <c r="A67" i="3"/>
  <c r="A68" i="3"/>
  <c r="A70" i="3"/>
  <c r="A72" i="3"/>
  <c r="A74" i="3"/>
  <c r="A76" i="3"/>
  <c r="A78" i="3"/>
  <c r="A79" i="3"/>
  <c r="A81" i="3"/>
  <c r="A83" i="3"/>
  <c r="A85" i="3"/>
  <c r="A87" i="3"/>
  <c r="A89" i="3"/>
  <c r="A90" i="3"/>
  <c r="A92" i="3"/>
  <c r="A94" i="3"/>
  <c r="A96" i="3"/>
  <c r="A98" i="3"/>
  <c r="A100" i="3"/>
  <c r="A101" i="3"/>
  <c r="A103" i="3"/>
  <c r="A105" i="3"/>
  <c r="A107" i="3"/>
  <c r="A109" i="3"/>
  <c r="A111" i="3"/>
  <c r="A112" i="3"/>
  <c r="A114" i="3"/>
  <c r="A116" i="3"/>
  <c r="A118" i="3"/>
  <c r="A120" i="3"/>
  <c r="A122" i="3"/>
  <c r="A123" i="3"/>
  <c r="A124" i="3"/>
  <c r="A125" i="3"/>
  <c r="A127" i="3"/>
  <c r="A129" i="3"/>
  <c r="A131" i="3"/>
  <c r="A133" i="3"/>
  <c r="A135" i="3"/>
  <c r="A136" i="3"/>
  <c r="A138" i="3"/>
  <c r="A140" i="3"/>
  <c r="A142" i="3"/>
  <c r="A144" i="3"/>
  <c r="A146" i="3"/>
  <c r="A147" i="3"/>
  <c r="A149" i="3"/>
  <c r="A151" i="3"/>
  <c r="A153" i="3"/>
  <c r="A155" i="3"/>
  <c r="A157" i="3"/>
  <c r="A158" i="3"/>
  <c r="A160" i="3"/>
  <c r="A162" i="3"/>
  <c r="A164" i="3"/>
  <c r="A166" i="3"/>
  <c r="A168" i="3"/>
  <c r="A169" i="3"/>
  <c r="A171" i="3"/>
  <c r="A173" i="3"/>
  <c r="A175" i="3"/>
  <c r="A177" i="3"/>
  <c r="A179" i="3"/>
  <c r="A180" i="3"/>
  <c r="A182" i="3"/>
  <c r="A184" i="3"/>
  <c r="A186" i="3"/>
  <c r="A188" i="3"/>
  <c r="A190" i="3"/>
  <c r="A191" i="3"/>
  <c r="A193" i="3"/>
  <c r="A195" i="3"/>
  <c r="A197" i="3"/>
  <c r="A199" i="3"/>
  <c r="A201" i="3"/>
  <c r="A202" i="3"/>
  <c r="A204" i="3"/>
  <c r="A206" i="3"/>
  <c r="A208" i="3"/>
  <c r="A210" i="3"/>
  <c r="A212" i="3"/>
  <c r="A213" i="3"/>
  <c r="A215" i="3"/>
  <c r="A217" i="3"/>
  <c r="A219" i="3"/>
  <c r="A221" i="3"/>
  <c r="A223" i="3"/>
  <c r="A224" i="3"/>
  <c r="A226" i="3"/>
  <c r="A228" i="3"/>
  <c r="A230" i="3"/>
  <c r="A232" i="3"/>
  <c r="A234" i="3"/>
  <c r="A235" i="3"/>
  <c r="A236" i="3"/>
  <c r="A237" i="3"/>
  <c r="A239" i="3"/>
  <c r="A241" i="3"/>
  <c r="A243" i="3"/>
  <c r="A245" i="3"/>
  <c r="A247" i="3"/>
  <c r="A248" i="3"/>
  <c r="A250" i="3"/>
  <c r="A252" i="3"/>
  <c r="A254" i="3"/>
  <c r="A256" i="3"/>
  <c r="A258" i="3"/>
  <c r="A259" i="3"/>
  <c r="A261" i="3"/>
  <c r="A263" i="3"/>
  <c r="A265" i="3"/>
  <c r="A267" i="3"/>
  <c r="A269" i="3"/>
  <c r="A270" i="3"/>
  <c r="A272" i="3"/>
  <c r="A274" i="3"/>
  <c r="A276" i="3"/>
  <c r="A278" i="3"/>
  <c r="A280" i="3"/>
  <c r="A281" i="3"/>
  <c r="A283" i="3"/>
  <c r="A285" i="3"/>
  <c r="A287" i="3"/>
  <c r="A289" i="3"/>
  <c r="A291" i="3"/>
  <c r="A292" i="3"/>
  <c r="A294" i="3"/>
  <c r="A296" i="3"/>
  <c r="A298" i="3"/>
  <c r="A300" i="3"/>
  <c r="A302" i="3"/>
  <c r="A303" i="3"/>
  <c r="A305" i="3"/>
  <c r="A307" i="3"/>
  <c r="A309" i="3"/>
  <c r="A311" i="3"/>
  <c r="A313" i="3"/>
  <c r="A314" i="3"/>
  <c r="A316" i="3"/>
  <c r="A318" i="3"/>
  <c r="A320" i="3"/>
  <c r="A322" i="3"/>
  <c r="A324" i="3"/>
  <c r="A325" i="3"/>
  <c r="A327" i="3"/>
  <c r="A329" i="3"/>
  <c r="A331" i="3"/>
  <c r="A333" i="3"/>
  <c r="A335" i="3"/>
  <c r="A336" i="3"/>
  <c r="A338" i="3"/>
  <c r="A340" i="3"/>
  <c r="A342" i="3"/>
  <c r="A344" i="3"/>
  <c r="A346" i="3"/>
  <c r="A347" i="3"/>
  <c r="A348" i="3"/>
  <c r="A349" i="3"/>
  <c r="A350" i="3"/>
  <c r="A354" i="3"/>
  <c r="A356" i="3"/>
  <c r="A359" i="3"/>
  <c r="A361" i="3"/>
  <c r="A362" i="3"/>
  <c r="A363" i="3"/>
  <c r="J406" i="3"/>
  <c r="J405" i="3"/>
  <c r="H406" i="3"/>
  <c r="H405" i="3"/>
  <c r="A404" i="3"/>
  <c r="H358" i="3"/>
  <c r="K358" i="3" s="1"/>
  <c r="J403" i="3"/>
  <c r="H357" i="3"/>
  <c r="K405" i="3" l="1"/>
  <c r="K406" i="3"/>
  <c r="K357" i="3"/>
  <c r="J393" i="3" l="1"/>
  <c r="J400" i="3"/>
  <c r="J401" i="3"/>
  <c r="J399" i="3"/>
  <c r="J260" i="3"/>
  <c r="J315" i="3"/>
  <c r="J326" i="3"/>
  <c r="J337" i="3"/>
  <c r="J148" i="3"/>
  <c r="J214" i="3"/>
  <c r="J225" i="3"/>
  <c r="J238" i="3"/>
  <c r="J374" i="3"/>
  <c r="J385" i="3"/>
  <c r="J170" i="3"/>
  <c r="J181" i="3"/>
  <c r="J192" i="3"/>
  <c r="J203" i="3"/>
  <c r="J91" i="3"/>
  <c r="J80" i="3"/>
  <c r="J69" i="3"/>
  <c r="J58" i="3"/>
  <c r="J47" i="3"/>
  <c r="J36" i="3"/>
  <c r="J102" i="3"/>
  <c r="J113" i="3"/>
  <c r="J282" i="3"/>
  <c r="J293" i="3"/>
  <c r="J33" i="3"/>
  <c r="J44" i="3"/>
  <c r="J55" i="3"/>
  <c r="J66" i="3"/>
  <c r="J77" i="3"/>
  <c r="J88" i="3"/>
  <c r="J99" i="3"/>
  <c r="J110" i="3"/>
  <c r="J121" i="3"/>
  <c r="J134" i="3"/>
  <c r="J145" i="3"/>
  <c r="J156" i="3"/>
  <c r="J167" i="3"/>
  <c r="J178" i="3"/>
  <c r="J189" i="3"/>
  <c r="J200" i="3"/>
  <c r="J211" i="3"/>
  <c r="J222" i="3"/>
  <c r="J233" i="3"/>
  <c r="J246" i="3"/>
  <c r="J257" i="3"/>
  <c r="J268" i="3"/>
  <c r="J279" i="3"/>
  <c r="J290" i="3"/>
  <c r="J301" i="3"/>
  <c r="J312" i="3"/>
  <c r="J323" i="3"/>
  <c r="J334" i="3"/>
  <c r="J345" i="3"/>
  <c r="J360" i="3"/>
  <c r="J382" i="3"/>
  <c r="J408" i="3"/>
  <c r="J391" i="3"/>
  <c r="J380" i="3"/>
  <c r="J343" i="3"/>
  <c r="J332" i="3"/>
  <c r="J321" i="3"/>
  <c r="J310" i="3"/>
  <c r="J299" i="3"/>
  <c r="J288" i="3"/>
  <c r="J277" i="3"/>
  <c r="J266" i="3"/>
  <c r="J255" i="3"/>
  <c r="J244" i="3"/>
  <c r="J231" i="3"/>
  <c r="J220" i="3"/>
  <c r="J209" i="3"/>
  <c r="J198" i="3"/>
  <c r="J187" i="3"/>
  <c r="J176" i="3"/>
  <c r="J165" i="3"/>
  <c r="J154" i="3"/>
  <c r="J143" i="3"/>
  <c r="J132" i="3"/>
  <c r="J119" i="3"/>
  <c r="J108" i="3"/>
  <c r="J97" i="3"/>
  <c r="J86" i="3"/>
  <c r="J75" i="3"/>
  <c r="J64" i="3"/>
  <c r="J53" i="3"/>
  <c r="J42" i="3"/>
  <c r="J31" i="3"/>
  <c r="J29" i="3"/>
  <c r="J40" i="3"/>
  <c r="J51" i="3"/>
  <c r="J62" i="3"/>
  <c r="J73" i="3"/>
  <c r="J84" i="3"/>
  <c r="J95" i="3"/>
  <c r="J106" i="3"/>
  <c r="J117" i="3"/>
  <c r="J130" i="3"/>
  <c r="J141" i="3"/>
  <c r="J152" i="3"/>
  <c r="J163" i="3"/>
  <c r="J174" i="3"/>
  <c r="J185" i="3"/>
  <c r="J196" i="3"/>
  <c r="J207" i="3"/>
  <c r="J218" i="3"/>
  <c r="J229" i="3"/>
  <c r="J242" i="3"/>
  <c r="J253" i="3"/>
  <c r="J264" i="3"/>
  <c r="J275" i="3"/>
  <c r="J286" i="3"/>
  <c r="J297" i="3"/>
  <c r="J308" i="3"/>
  <c r="J319" i="3"/>
  <c r="J330" i="3"/>
  <c r="J341" i="3"/>
  <c r="J378" i="3"/>
  <c r="J389" i="3"/>
  <c r="J27" i="3"/>
  <c r="J38" i="3"/>
  <c r="J49" i="3"/>
  <c r="J60" i="3"/>
  <c r="J71" i="3"/>
  <c r="J82" i="3"/>
  <c r="J93" i="3"/>
  <c r="J104" i="3"/>
  <c r="J115" i="3"/>
  <c r="J128" i="3"/>
  <c r="J139" i="3"/>
  <c r="J150" i="3"/>
  <c r="J161" i="3"/>
  <c r="J172" i="3"/>
  <c r="J183" i="3"/>
  <c r="J194" i="3"/>
  <c r="J205" i="3"/>
  <c r="J216" i="3"/>
  <c r="J227" i="3"/>
  <c r="J240" i="3"/>
  <c r="J251" i="3"/>
  <c r="J262" i="3"/>
  <c r="J273" i="3"/>
  <c r="J284" i="3"/>
  <c r="J295" i="3"/>
  <c r="J306" i="3"/>
  <c r="J317" i="3"/>
  <c r="J328" i="3"/>
  <c r="J339" i="3"/>
  <c r="J376" i="3"/>
  <c r="J387" i="3"/>
  <c r="F408" i="3" l="1"/>
  <c r="F355" i="3"/>
  <c r="F352" i="3"/>
  <c r="F351" i="3"/>
  <c r="F360" i="3"/>
  <c r="H360" i="3" s="1"/>
  <c r="K360" i="3" s="1"/>
  <c r="F341" i="3"/>
  <c r="F339" i="3"/>
  <c r="F337" i="3"/>
  <c r="F330" i="3"/>
  <c r="H330" i="3" s="1"/>
  <c r="K330" i="3" s="1"/>
  <c r="F328" i="3"/>
  <c r="F326" i="3"/>
  <c r="F323" i="3"/>
  <c r="F321" i="3"/>
  <c r="H321" i="3" s="1"/>
  <c r="K321" i="3" s="1"/>
  <c r="F319" i="3"/>
  <c r="F317" i="3"/>
  <c r="H317" i="3" s="1"/>
  <c r="K317" i="3" s="1"/>
  <c r="F315" i="3"/>
  <c r="F308" i="3"/>
  <c r="H308" i="3" s="1"/>
  <c r="K308" i="3" s="1"/>
  <c r="F306" i="3"/>
  <c r="F304" i="3"/>
  <c r="F301" i="3"/>
  <c r="F297" i="3"/>
  <c r="H297" i="3" s="1"/>
  <c r="K297" i="3" s="1"/>
  <c r="F295" i="3"/>
  <c r="F293" i="3"/>
  <c r="F286" i="3"/>
  <c r="F284" i="3"/>
  <c r="H284" i="3" s="1"/>
  <c r="K284" i="3" s="1"/>
  <c r="F282" i="3"/>
  <c r="F275" i="3"/>
  <c r="F273" i="3"/>
  <c r="F271" i="3"/>
  <c r="F264" i="3"/>
  <c r="F262" i="3"/>
  <c r="F260" i="3"/>
  <c r="F253" i="3"/>
  <c r="H253" i="3" s="1"/>
  <c r="K253" i="3" s="1"/>
  <c r="F251" i="3"/>
  <c r="F249" i="3"/>
  <c r="F246" i="3"/>
  <c r="F244" i="3"/>
  <c r="H244" i="3" s="1"/>
  <c r="K244" i="3" s="1"/>
  <c r="F242" i="3"/>
  <c r="F240" i="3"/>
  <c r="F238" i="3"/>
  <c r="F231" i="3"/>
  <c r="H231" i="3" s="1"/>
  <c r="K231" i="3" s="1"/>
  <c r="F229" i="3"/>
  <c r="F227" i="3"/>
  <c r="F225" i="3"/>
  <c r="F220" i="3"/>
  <c r="H220" i="3" s="1"/>
  <c r="K220" i="3" s="1"/>
  <c r="F218" i="3"/>
  <c r="F216" i="3"/>
  <c r="F214" i="3"/>
  <c r="F209" i="3"/>
  <c r="H209" i="3" s="1"/>
  <c r="K209" i="3" s="1"/>
  <c r="F207" i="3"/>
  <c r="F205" i="3"/>
  <c r="F192" i="3"/>
  <c r="H192" i="3" s="1"/>
  <c r="K192" i="3" s="1"/>
  <c r="F203" i="3"/>
  <c r="H200" i="3"/>
  <c r="K200" i="3" s="1"/>
  <c r="H198" i="3"/>
  <c r="K198" i="3" s="1"/>
  <c r="F196" i="3"/>
  <c r="H196" i="3" s="1"/>
  <c r="K196" i="3" s="1"/>
  <c r="F194" i="3"/>
  <c r="F187" i="3"/>
  <c r="H187" i="3" s="1"/>
  <c r="K187" i="3" s="1"/>
  <c r="F185" i="3"/>
  <c r="F183" i="3"/>
  <c r="H183" i="3" s="1"/>
  <c r="K183" i="3" s="1"/>
  <c r="F181" i="3"/>
  <c r="F176" i="3"/>
  <c r="H176" i="3" s="1"/>
  <c r="K176" i="3" s="1"/>
  <c r="F174" i="3"/>
  <c r="F172" i="3"/>
  <c r="H172" i="3" s="1"/>
  <c r="K172" i="3" s="1"/>
  <c r="F170" i="3"/>
  <c r="F163" i="3"/>
  <c r="H163" i="3" s="1"/>
  <c r="K163" i="3" s="1"/>
  <c r="F165" i="3"/>
  <c r="F161" i="3"/>
  <c r="H161" i="3" s="1"/>
  <c r="K161" i="3" s="1"/>
  <c r="F159" i="3"/>
  <c r="F154" i="3"/>
  <c r="H154" i="3" s="1"/>
  <c r="K154" i="3" s="1"/>
  <c r="F152" i="3"/>
  <c r="F150" i="3"/>
  <c r="H150" i="3" s="1"/>
  <c r="K150" i="3" s="1"/>
  <c r="F148" i="3"/>
  <c r="F143" i="3"/>
  <c r="H143" i="3" s="1"/>
  <c r="K143" i="3" s="1"/>
  <c r="F141" i="3"/>
  <c r="F139" i="3"/>
  <c r="H139" i="3" s="1"/>
  <c r="K139" i="3" s="1"/>
  <c r="F137" i="3"/>
  <c r="F132" i="3"/>
  <c r="H132" i="3" s="1"/>
  <c r="K132" i="3" s="1"/>
  <c r="F130" i="3"/>
  <c r="F128" i="3"/>
  <c r="F126" i="3"/>
  <c r="A375" i="3"/>
  <c r="A377" i="3"/>
  <c r="A379" i="3"/>
  <c r="A381" i="3"/>
  <c r="A383" i="3"/>
  <c r="A384" i="3"/>
  <c r="A386" i="3"/>
  <c r="A388" i="3"/>
  <c r="A390" i="3"/>
  <c r="A392" i="3"/>
  <c r="A394" i="3"/>
  <c r="A395" i="3"/>
  <c r="A396" i="3"/>
  <c r="A397" i="3"/>
  <c r="A398" i="3"/>
  <c r="A402" i="3"/>
  <c r="A407" i="3"/>
  <c r="A409" i="3"/>
  <c r="A410" i="3"/>
  <c r="A411" i="3"/>
  <c r="A373" i="3"/>
  <c r="A372" i="3"/>
  <c r="A371" i="3"/>
  <c r="A370" i="3"/>
  <c r="A364" i="3"/>
  <c r="A15" i="3"/>
  <c r="A10" i="3"/>
  <c r="A11" i="3"/>
  <c r="A12" i="3"/>
  <c r="A13" i="3"/>
  <c r="H391" i="3"/>
  <c r="K391" i="3" s="1"/>
  <c r="H380" i="3"/>
  <c r="K380" i="3" s="1"/>
  <c r="H393" i="3"/>
  <c r="K393" i="3" s="1"/>
  <c r="H403" i="3"/>
  <c r="K403" i="3" s="1"/>
  <c r="H355" i="3"/>
  <c r="K355" i="3" s="1"/>
  <c r="H345" i="3"/>
  <c r="K345" i="3" s="1"/>
  <c r="H343" i="3"/>
  <c r="K343" i="3" s="1"/>
  <c r="H341" i="3"/>
  <c r="K341" i="3" s="1"/>
  <c r="H339" i="3"/>
  <c r="K339" i="3" s="1"/>
  <c r="H334" i="3"/>
  <c r="K334" i="3" s="1"/>
  <c r="H332" i="3"/>
  <c r="K332" i="3" s="1"/>
  <c r="H328" i="3"/>
  <c r="K328" i="3" s="1"/>
  <c r="H323" i="3"/>
  <c r="K323" i="3" s="1"/>
  <c r="H319" i="3"/>
  <c r="K319" i="3" s="1"/>
  <c r="H312" i="3"/>
  <c r="K312" i="3" s="1"/>
  <c r="H310" i="3"/>
  <c r="K310" i="3" s="1"/>
  <c r="H306" i="3"/>
  <c r="K306" i="3" s="1"/>
  <c r="H301" i="3"/>
  <c r="K301" i="3" s="1"/>
  <c r="H299" i="3"/>
  <c r="K299" i="3" s="1"/>
  <c r="H295" i="3"/>
  <c r="K295" i="3" s="1"/>
  <c r="H290" i="3"/>
  <c r="K290" i="3" s="1"/>
  <c r="H288" i="3"/>
  <c r="K288" i="3" s="1"/>
  <c r="H286" i="3"/>
  <c r="K286" i="3" s="1"/>
  <c r="H279" i="3"/>
  <c r="K279" i="3" s="1"/>
  <c r="H277" i="3"/>
  <c r="K277" i="3" s="1"/>
  <c r="H275" i="3"/>
  <c r="K275" i="3" s="1"/>
  <c r="H273" i="3"/>
  <c r="K273" i="3" s="1"/>
  <c r="H268" i="3"/>
  <c r="K268" i="3" s="1"/>
  <c r="H266" i="3"/>
  <c r="K266" i="3" s="1"/>
  <c r="H264" i="3"/>
  <c r="K264" i="3" s="1"/>
  <c r="H262" i="3"/>
  <c r="K262" i="3" s="1"/>
  <c r="H257" i="3"/>
  <c r="K257" i="3" s="1"/>
  <c r="H255" i="3"/>
  <c r="K255" i="3" s="1"/>
  <c r="H251" i="3"/>
  <c r="K251" i="3" s="1"/>
  <c r="H246" i="3"/>
  <c r="K246" i="3" s="1"/>
  <c r="H242" i="3"/>
  <c r="K242" i="3" s="1"/>
  <c r="H233" i="3"/>
  <c r="K233" i="3" s="1"/>
  <c r="H229" i="3"/>
  <c r="K229" i="3" s="1"/>
  <c r="H227" i="3"/>
  <c r="K227" i="3" s="1"/>
  <c r="H222" i="3"/>
  <c r="K222" i="3" s="1"/>
  <c r="H218" i="3"/>
  <c r="K218" i="3" s="1"/>
  <c r="H216" i="3"/>
  <c r="K216" i="3" s="1"/>
  <c r="H211" i="3"/>
  <c r="K211" i="3" s="1"/>
  <c r="H207" i="3"/>
  <c r="K207" i="3" s="1"/>
  <c r="H205" i="3"/>
  <c r="K205" i="3" s="1"/>
  <c r="H189" i="3"/>
  <c r="K189" i="3" s="1"/>
  <c r="H185" i="3"/>
  <c r="K185" i="3" s="1"/>
  <c r="H178" i="3"/>
  <c r="K178" i="3" s="1"/>
  <c r="H174" i="3"/>
  <c r="K174" i="3" s="1"/>
  <c r="H167" i="3"/>
  <c r="K167" i="3" s="1"/>
  <c r="H165" i="3"/>
  <c r="K165" i="3" s="1"/>
  <c r="H156" i="3"/>
  <c r="K156" i="3" s="1"/>
  <c r="H152" i="3"/>
  <c r="K152" i="3" s="1"/>
  <c r="H145" i="3"/>
  <c r="K145" i="3" s="1"/>
  <c r="H141" i="3"/>
  <c r="K141" i="3" s="1"/>
  <c r="H134" i="3"/>
  <c r="K134" i="3" s="1"/>
  <c r="H130" i="3"/>
  <c r="K130" i="3" s="1"/>
  <c r="F119" i="3"/>
  <c r="F108" i="3"/>
  <c r="H108" i="3" s="1"/>
  <c r="K108" i="3" s="1"/>
  <c r="H97" i="3"/>
  <c r="K97" i="3" s="1"/>
  <c r="H86" i="3"/>
  <c r="K86" i="3" s="1"/>
  <c r="H75" i="3"/>
  <c r="K75" i="3" s="1"/>
  <c r="H64" i="3"/>
  <c r="K64" i="3" s="1"/>
  <c r="H53" i="3"/>
  <c r="K53" i="3" s="1"/>
  <c r="F387" i="3"/>
  <c r="F376" i="3"/>
  <c r="H376" i="3" s="1"/>
  <c r="K376" i="3" s="1"/>
  <c r="F115" i="3"/>
  <c r="F104" i="3"/>
  <c r="F93" i="3"/>
  <c r="F82" i="3"/>
  <c r="F71" i="3"/>
  <c r="F60" i="3"/>
  <c r="F49" i="3"/>
  <c r="F38" i="3"/>
  <c r="F31" i="3"/>
  <c r="H31" i="3" s="1"/>
  <c r="K31" i="3" s="1"/>
  <c r="F27" i="3"/>
  <c r="F16" i="3"/>
  <c r="H20" i="3"/>
  <c r="K20" i="3" s="1"/>
  <c r="F117" i="3"/>
  <c r="F113" i="3"/>
  <c r="H113" i="3" s="1"/>
  <c r="K113" i="3" s="1"/>
  <c r="F106" i="3"/>
  <c r="H106" i="3" s="1"/>
  <c r="K106" i="3" s="1"/>
  <c r="F102" i="3"/>
  <c r="F95" i="3"/>
  <c r="H95" i="3" s="1"/>
  <c r="K95" i="3" s="1"/>
  <c r="F91" i="3"/>
  <c r="F84" i="3"/>
  <c r="H84" i="3" s="1"/>
  <c r="K84" i="3" s="1"/>
  <c r="F80" i="3"/>
  <c r="F73" i="3"/>
  <c r="H73" i="3" s="1"/>
  <c r="K73" i="3" s="1"/>
  <c r="F69" i="3"/>
  <c r="F62" i="3"/>
  <c r="H62" i="3" s="1"/>
  <c r="K62" i="3" s="1"/>
  <c r="F58" i="3"/>
  <c r="F51" i="3"/>
  <c r="H51" i="3" s="1"/>
  <c r="K51" i="3" s="1"/>
  <c r="F47" i="3"/>
  <c r="F40" i="3"/>
  <c r="H40" i="3" s="1"/>
  <c r="K40" i="3" s="1"/>
  <c r="F36" i="3"/>
  <c r="F29" i="3"/>
  <c r="H29" i="3" s="1"/>
  <c r="K29" i="3" s="1"/>
  <c r="F18" i="3"/>
  <c r="H18" i="3" s="1"/>
  <c r="K18" i="3" s="1"/>
  <c r="H121" i="3"/>
  <c r="K121" i="3" s="1"/>
  <c r="H110" i="3"/>
  <c r="K110" i="3" s="1"/>
  <c r="H99" i="3"/>
  <c r="K99" i="3" s="1"/>
  <c r="H88" i="3"/>
  <c r="K88" i="3" s="1"/>
  <c r="H77" i="3"/>
  <c r="K77" i="3" s="1"/>
  <c r="H66" i="3"/>
  <c r="K66" i="3" s="1"/>
  <c r="H55" i="3"/>
  <c r="K55" i="3" s="1"/>
  <c r="H44" i="3"/>
  <c r="K44" i="3" s="1"/>
  <c r="H33" i="3"/>
  <c r="K33" i="3" s="1"/>
  <c r="F25" i="3"/>
  <c r="F14" i="3"/>
  <c r="H22" i="3"/>
  <c r="K22" i="3" s="1"/>
  <c r="H408" i="3"/>
  <c r="K408" i="3" s="1"/>
  <c r="F389" i="3"/>
  <c r="F378" i="3"/>
  <c r="H378" i="3" s="1"/>
  <c r="K378" i="3" s="1"/>
  <c r="H194" i="3" l="1"/>
  <c r="K194" i="3" s="1"/>
  <c r="H119" i="3"/>
  <c r="K119" i="3" s="1"/>
  <c r="H42" i="3"/>
  <c r="K42" i="3" s="1"/>
  <c r="F385" i="3"/>
  <c r="H385" i="3" s="1"/>
  <c r="K385" i="3" s="1"/>
  <c r="F374" i="3"/>
  <c r="H389" i="3"/>
  <c r="K389" i="3" s="1"/>
  <c r="H387" i="3"/>
  <c r="K387" i="3" s="1"/>
  <c r="H382" i="3"/>
  <c r="K382" i="3" s="1"/>
  <c r="H401" i="3"/>
  <c r="K401" i="3" s="1"/>
  <c r="H400" i="3"/>
  <c r="K400" i="3" s="1"/>
  <c r="H399" i="3"/>
  <c r="K399" i="3" s="1"/>
  <c r="H353" i="3"/>
  <c r="K353" i="3" s="1"/>
  <c r="H352" i="3"/>
  <c r="K352" i="3" s="1"/>
  <c r="H351" i="3"/>
  <c r="K351" i="3" s="1"/>
  <c r="A369" i="3"/>
  <c r="H240" i="3"/>
  <c r="K240" i="3" s="1"/>
  <c r="H128" i="3"/>
  <c r="K128" i="3" s="1"/>
  <c r="H115" i="3"/>
  <c r="K115" i="3" s="1"/>
  <c r="H104" i="3"/>
  <c r="K104" i="3" s="1"/>
  <c r="H93" i="3"/>
  <c r="K93" i="3" s="1"/>
  <c r="H82" i="3"/>
  <c r="K82" i="3" s="1"/>
  <c r="H71" i="3"/>
  <c r="K71" i="3" s="1"/>
  <c r="H60" i="3"/>
  <c r="K60" i="3" s="1"/>
  <c r="H49" i="3"/>
  <c r="K49" i="3" s="1"/>
  <c r="H38" i="3"/>
  <c r="K38" i="3" s="1"/>
  <c r="H27" i="3"/>
  <c r="K27" i="3" s="1"/>
  <c r="H16" i="3"/>
  <c r="K16" i="3" s="1"/>
  <c r="H225" i="3"/>
  <c r="K225" i="3" s="1"/>
  <c r="H214" i="3"/>
  <c r="K214" i="3" s="1"/>
  <c r="H203" i="3"/>
  <c r="K203" i="3" s="1"/>
  <c r="H181" i="3"/>
  <c r="K181" i="3" s="1"/>
  <c r="H170" i="3"/>
  <c r="K170" i="3" s="1"/>
  <c r="H159" i="3"/>
  <c r="K159" i="3" s="1"/>
  <c r="H148" i="3"/>
  <c r="K148" i="3" s="1"/>
  <c r="H137" i="3"/>
  <c r="K137" i="3" s="1"/>
  <c r="H126" i="3"/>
  <c r="K126" i="3" s="1"/>
  <c r="H117" i="3"/>
  <c r="K117" i="3" s="1"/>
  <c r="H102" i="3"/>
  <c r="K102" i="3" s="1"/>
  <c r="H91" i="3"/>
  <c r="K91" i="3" s="1"/>
  <c r="H80" i="3"/>
  <c r="K80" i="3" s="1"/>
  <c r="H69" i="3"/>
  <c r="K69" i="3" s="1"/>
  <c r="H58" i="3"/>
  <c r="K58" i="3" s="1"/>
  <c r="H47" i="3"/>
  <c r="K47" i="3" s="1"/>
  <c r="H36" i="3"/>
  <c r="K36" i="3" s="1"/>
  <c r="H25" i="3"/>
  <c r="K25" i="3" s="1"/>
  <c r="H14" i="3"/>
  <c r="K14" i="3" s="1"/>
  <c r="H326" i="3"/>
  <c r="K326" i="3" s="1"/>
  <c r="H337" i="3"/>
  <c r="K337" i="3" s="1"/>
  <c r="H282" i="3"/>
  <c r="K282" i="3" s="1"/>
  <c r="H293" i="3"/>
  <c r="K293" i="3" s="1"/>
  <c r="H304" i="3"/>
  <c r="K304" i="3" s="1"/>
  <c r="H315" i="3"/>
  <c r="K315" i="3" s="1"/>
  <c r="H238" i="3"/>
  <c r="K238" i="3" s="1"/>
  <c r="H249" i="3"/>
  <c r="K249" i="3" s="1"/>
  <c r="H260" i="3"/>
  <c r="K260" i="3" s="1"/>
  <c r="H271" i="3"/>
  <c r="K271" i="3" s="1"/>
  <c r="L347" i="3" l="1"/>
  <c r="D8" i="2" s="1"/>
  <c r="L410" i="3"/>
  <c r="D17" i="2" s="1"/>
  <c r="L362" i="3"/>
  <c r="D9" i="2" s="1"/>
  <c r="H374" i="3"/>
  <c r="K374" i="3" s="1"/>
  <c r="L395" i="3" l="1"/>
  <c r="D16" i="2" s="1"/>
  <c r="K412" i="3"/>
  <c r="A9" i="3" l="1"/>
  <c r="A14" i="3" l="1"/>
  <c r="K365" i="3"/>
  <c r="K366" i="3" s="1"/>
  <c r="A16" i="3" l="1"/>
  <c r="D11" i="2"/>
  <c r="D12" i="2" s="1"/>
  <c r="D13" i="2" s="1"/>
  <c r="K367" i="3"/>
  <c r="L365" i="3"/>
  <c r="L366" i="3" s="1"/>
  <c r="A18" i="3" l="1"/>
  <c r="A20" i="3"/>
  <c r="L367" i="3"/>
  <c r="C5" i="3" s="1"/>
  <c r="L412" i="3"/>
  <c r="A22" i="3" l="1"/>
  <c r="A25" i="3"/>
  <c r="K413" i="3"/>
  <c r="K414" i="3" s="1"/>
  <c r="L413" i="3"/>
  <c r="L414" i="3" s="1"/>
  <c r="C6" i="3" s="1"/>
  <c r="A27" i="3" l="1"/>
  <c r="A29" i="3" s="1"/>
  <c r="D19" i="2"/>
  <c r="A31" i="3" l="1"/>
  <c r="D20" i="2"/>
  <c r="D21" i="2" s="1"/>
  <c r="A33" i="3" l="1"/>
  <c r="A36" i="3" l="1"/>
  <c r="A38" i="3" l="1"/>
  <c r="A40" i="3" l="1"/>
  <c r="A42" i="3" l="1"/>
  <c r="A44" i="3" s="1"/>
  <c r="A47" i="3" l="1"/>
  <c r="A49" i="3" l="1"/>
  <c r="A51" i="3" l="1"/>
  <c r="A53" i="3" l="1"/>
  <c r="A55" i="3"/>
  <c r="A58" i="3" l="1"/>
  <c r="A60" i="3" l="1"/>
  <c r="A62" i="3" l="1"/>
  <c r="A64" i="3" l="1"/>
  <c r="A66" i="3" l="1"/>
  <c r="A69" i="3"/>
  <c r="A71" i="3" l="1"/>
  <c r="A73" i="3" s="1"/>
  <c r="A75" i="3" s="1"/>
  <c r="A77" i="3" l="1"/>
  <c r="A80" i="3" s="1"/>
  <c r="A82" i="3" s="1"/>
  <c r="A84" i="3" l="1"/>
  <c r="A86" i="3"/>
  <c r="A88" i="3" l="1"/>
  <c r="A91" i="3" s="1"/>
  <c r="A93" i="3" l="1"/>
  <c r="A95" i="3" s="1"/>
  <c r="A97" i="3" l="1"/>
  <c r="A99" i="3"/>
  <c r="A102" i="3" l="1"/>
  <c r="A104" i="3" l="1"/>
  <c r="A106" i="3" l="1"/>
  <c r="A108" i="3" s="1"/>
  <c r="A110" i="3" s="1"/>
  <c r="A113" i="3" l="1"/>
  <c r="A115" i="3"/>
  <c r="A117" i="3" s="1"/>
  <c r="A119" i="3" l="1"/>
  <c r="A121" i="3" s="1"/>
  <c r="A126" i="3" l="1"/>
  <c r="A128" i="3" l="1"/>
  <c r="A130" i="3" s="1"/>
  <c r="A132" i="3" l="1"/>
  <c r="A134" i="3" s="1"/>
  <c r="A137" i="3" l="1"/>
  <c r="A139" i="3" s="1"/>
  <c r="A141" i="3" l="1"/>
  <c r="A143" i="3"/>
  <c r="A145" i="3" l="1"/>
  <c r="A148" i="3" l="1"/>
  <c r="A150" i="3" l="1"/>
  <c r="A152" i="3" s="1"/>
  <c r="A154" i="3" l="1"/>
  <c r="A156" i="3" l="1"/>
  <c r="A159" i="3"/>
  <c r="A161" i="3" l="1"/>
  <c r="A163" i="3" l="1"/>
  <c r="A165" i="3" l="1"/>
  <c r="A167" i="3" s="1"/>
  <c r="A170" i="3" l="1"/>
  <c r="A172" i="3" l="1"/>
  <c r="A174" i="3" l="1"/>
  <c r="A176" i="3" l="1"/>
  <c r="A178" i="3"/>
  <c r="A181" i="3" s="1"/>
  <c r="A183" i="3" l="1"/>
  <c r="A185" i="3" l="1"/>
  <c r="A187" i="3" l="1"/>
  <c r="A189" i="3" s="1"/>
  <c r="A192" i="3" l="1"/>
  <c r="A194" i="3" l="1"/>
  <c r="A196" i="3" l="1"/>
  <c r="A198" i="3" s="1"/>
  <c r="A200" i="3" l="1"/>
  <c r="A203" i="3" l="1"/>
  <c r="A205" i="3" s="1"/>
  <c r="A207" i="3" l="1"/>
  <c r="A209" i="3" l="1"/>
  <c r="A211" i="3" l="1"/>
  <c r="A214" i="3"/>
  <c r="A216" i="3" l="1"/>
  <c r="A218" i="3" s="1"/>
  <c r="A220" i="3" l="1"/>
  <c r="A222" i="3" l="1"/>
  <c r="A225" i="3" s="1"/>
  <c r="A227" i="3" s="1"/>
  <c r="A229" i="3" l="1"/>
  <c r="A231" i="3" s="1"/>
  <c r="A233" i="3" l="1"/>
  <c r="A238" i="3" s="1"/>
  <c r="A240" i="3" l="1"/>
  <c r="A242" i="3" s="1"/>
  <c r="A244" i="3" l="1"/>
  <c r="A246" i="3" l="1"/>
  <c r="A249" i="3"/>
  <c r="A251" i="3" s="1"/>
  <c r="A253" i="3" s="1"/>
  <c r="A255" i="3" l="1"/>
  <c r="A257" i="3" l="1"/>
  <c r="A260" i="3" l="1"/>
  <c r="A262" i="3"/>
  <c r="A264" i="3" l="1"/>
  <c r="A266" i="3"/>
  <c r="A268" i="3" s="1"/>
  <c r="A271" i="3" s="1"/>
  <c r="A273" i="3" l="1"/>
  <c r="A275" i="3"/>
  <c r="A277" i="3" l="1"/>
  <c r="A279" i="3"/>
  <c r="A282" i="3" l="1"/>
  <c r="A284" i="3" l="1"/>
  <c r="A286" i="3" s="1"/>
  <c r="A288" i="3" l="1"/>
  <c r="A290" i="3" l="1"/>
  <c r="A293" i="3" l="1"/>
  <c r="A295" i="3" l="1"/>
  <c r="A297" i="3" l="1"/>
  <c r="A299" i="3" l="1"/>
  <c r="A301" i="3" l="1"/>
  <c r="A304" i="3" l="1"/>
  <c r="A306" i="3" l="1"/>
  <c r="A308" i="3" l="1"/>
  <c r="A310" i="3" l="1"/>
  <c r="A312" i="3" l="1"/>
  <c r="A315" i="3"/>
  <c r="A317" i="3" l="1"/>
  <c r="A319" i="3" l="1"/>
  <c r="A321" i="3" s="1"/>
  <c r="A323" i="3" s="1"/>
  <c r="A326" i="3" l="1"/>
  <c r="A328" i="3" l="1"/>
  <c r="A330" i="3" l="1"/>
  <c r="A332" i="3" l="1"/>
  <c r="A334" i="3" l="1"/>
  <c r="A337" i="3" l="1"/>
  <c r="A339" i="3"/>
  <c r="A341" i="3" s="1"/>
  <c r="A343" i="3" l="1"/>
  <c r="A345" i="3" l="1"/>
  <c r="A351" i="3" s="1"/>
  <c r="A352" i="3" l="1"/>
  <c r="A353" i="3" l="1"/>
  <c r="A355" i="3" s="1"/>
  <c r="A357" i="3" l="1"/>
  <c r="A358" i="3"/>
  <c r="A360" i="3" s="1"/>
  <c r="A374" i="3" s="1"/>
  <c r="A376" i="3" s="1"/>
  <c r="A378" i="3" s="1"/>
  <c r="A380" i="3" s="1"/>
  <c r="A382" i="3" l="1"/>
  <c r="A385" i="3" s="1"/>
  <c r="A387" i="3" s="1"/>
  <c r="A389" i="3" l="1"/>
  <c r="A391" i="3" s="1"/>
  <c r="A393" i="3" l="1"/>
  <c r="A399" i="3" s="1"/>
  <c r="A400" i="3" l="1"/>
  <c r="A401" i="3" s="1"/>
  <c r="A403" i="3" l="1"/>
  <c r="A405" i="3" s="1"/>
  <c r="A406" i="3" s="1"/>
  <c r="A408" i="3" l="1"/>
</calcChain>
</file>

<file path=xl/sharedStrings.xml><?xml version="1.0" encoding="utf-8"?>
<sst xmlns="http://schemas.openxmlformats.org/spreadsheetml/2006/main" count="857" uniqueCount="141">
  <si>
    <t>PROJECT</t>
  </si>
  <si>
    <t>ADDRESS</t>
  </si>
  <si>
    <t>Date of submission</t>
  </si>
  <si>
    <t>Date of plans</t>
  </si>
  <si>
    <t>SR #</t>
  </si>
  <si>
    <t>Sheet
No.</t>
  </si>
  <si>
    <t>Detail
No.</t>
  </si>
  <si>
    <t>CSI
No.</t>
  </si>
  <si>
    <t>DESCRIPTION</t>
  </si>
  <si>
    <t>QTY.</t>
  </si>
  <si>
    <t>WASTE</t>
  </si>
  <si>
    <t>QTY. W/ WASTE</t>
  </si>
  <si>
    <t>UNIT</t>
  </si>
  <si>
    <t>TOTAL UNIT COST</t>
  </si>
  <si>
    <t>TOTAL COST</t>
  </si>
  <si>
    <t>SUB TOTALS</t>
  </si>
  <si>
    <t>SF</t>
  </si>
  <si>
    <t>SUB - TOTAL</t>
  </si>
  <si>
    <t xml:space="preserve"> </t>
  </si>
  <si>
    <t>Next Tab For Detailed Estimate</t>
  </si>
  <si>
    <t>OVERHEAD &amp; PROFIT</t>
  </si>
  <si>
    <t>PHASE-1</t>
  </si>
  <si>
    <t>PHASE-2</t>
  </si>
  <si>
    <t>TOTAL</t>
  </si>
  <si>
    <t>LF</t>
  </si>
  <si>
    <t>FIRST FLOOR</t>
  </si>
  <si>
    <t>SECOND FLOOR</t>
  </si>
  <si>
    <t>Exclsuions</t>
  </si>
  <si>
    <t>MASONRY</t>
  </si>
  <si>
    <t>UNIT MASONRY</t>
  </si>
  <si>
    <t>L-3"x3"x1/4", 6" Long @ 4'-0" O.C. Each Side</t>
  </si>
  <si>
    <t>A1/S401</t>
  </si>
  <si>
    <t>B1/S401</t>
  </si>
  <si>
    <t>C1/S401</t>
  </si>
  <si>
    <t>D1/S401</t>
  </si>
  <si>
    <t>E1/S401</t>
  </si>
  <si>
    <t>F1/S401</t>
  </si>
  <si>
    <t>G1/S401</t>
  </si>
  <si>
    <t>H1/S401</t>
  </si>
  <si>
    <t>I1/S401</t>
  </si>
  <si>
    <t>J1/S401</t>
  </si>
  <si>
    <t>A2/S402</t>
  </si>
  <si>
    <t>B2/S402</t>
  </si>
  <si>
    <t>C2/S402</t>
  </si>
  <si>
    <t>D2/S402</t>
  </si>
  <si>
    <t>E2/S402</t>
  </si>
  <si>
    <t>F2/S402</t>
  </si>
  <si>
    <t>H2/S402</t>
  </si>
  <si>
    <t>I2/S402</t>
  </si>
  <si>
    <t>J2/S402</t>
  </si>
  <si>
    <t>A3/S403</t>
  </si>
  <si>
    <t>B3/S403</t>
  </si>
  <si>
    <t>C3/S403</t>
  </si>
  <si>
    <t>D3/S403</t>
  </si>
  <si>
    <t>E3/S403</t>
  </si>
  <si>
    <t>F3/S403</t>
  </si>
  <si>
    <t>G3/S403</t>
  </si>
  <si>
    <t>H3/S403</t>
  </si>
  <si>
    <t>J3/S403</t>
  </si>
  <si>
    <t>I3/S403</t>
  </si>
  <si>
    <t>A102-A103</t>
  </si>
  <si>
    <t>A104-A105</t>
  </si>
  <si>
    <t>A106-A107</t>
  </si>
  <si>
    <t>Unit Masonry Sub Total</t>
  </si>
  <si>
    <t>Anything Not Mentioned Above</t>
  </si>
  <si>
    <t>BRICK VENEER</t>
  </si>
  <si>
    <t>THIN BRICK VENEER</t>
  </si>
  <si>
    <t>Brick Veneer Sub Total</t>
  </si>
  <si>
    <t>A200-A201</t>
  </si>
  <si>
    <t>EXT-01/G004</t>
  </si>
  <si>
    <t>EXT-02/G004</t>
  </si>
  <si>
    <t>EXT-05/G004</t>
  </si>
  <si>
    <t>M1/S401 &amp; M2/S402</t>
  </si>
  <si>
    <t>K1&amp;L1/S401 &amp; K2&amp;L2/S402</t>
  </si>
  <si>
    <t>Scaffolding</t>
  </si>
  <si>
    <t>L-3"x3"x1/4", 6" Long @ 4'-0" O.C.</t>
  </si>
  <si>
    <t>8" Solid Grouted CMU Wall W/
- #7 @ 8" Vertical Reinforcement
- 8GA. Dur-O-Wall Horizontal Reinforcemnt @ 16" O.C.</t>
  </si>
  <si>
    <t>8" Bond Beam W/
- (2)#5 Bars</t>
  </si>
  <si>
    <t>WALL TYPE - C8 A1/S401</t>
  </si>
  <si>
    <t>WALL TYPE - C8 B1/S401</t>
  </si>
  <si>
    <t>Compressible Filler</t>
  </si>
  <si>
    <t>BOND BEAM</t>
  </si>
  <si>
    <t>8" CMU WALL</t>
  </si>
  <si>
    <t>STEEL ANGLE</t>
  </si>
  <si>
    <t>Install Only</t>
  </si>
  <si>
    <t>COMPRESSIBLE FILLER</t>
  </si>
  <si>
    <t>SCAFFOLDING</t>
  </si>
  <si>
    <t>WALL TYPE - C8 J1/S401</t>
  </si>
  <si>
    <t>WALL TYPE - C8 I1/S401</t>
  </si>
  <si>
    <t>WALL TYPE - C8 H1/S401</t>
  </si>
  <si>
    <t>WALL TYPE - C8 G1/S401</t>
  </si>
  <si>
    <t>WALL TYPE - C8 F1/S401</t>
  </si>
  <si>
    <t>WALL TYPE - C8 E1/S401</t>
  </si>
  <si>
    <t>WALL TYPE - C8 D1/S401</t>
  </si>
  <si>
    <t>WALL TYPE - C8 C1/S401</t>
  </si>
  <si>
    <t>WALL TYPE - C8 A2/S402</t>
  </si>
  <si>
    <t>WALL TYPE - C8 J2/S402</t>
  </si>
  <si>
    <t>WALL TYPE - C8 I2/S402</t>
  </si>
  <si>
    <t>WALL TYPE - C8 H2/S402</t>
  </si>
  <si>
    <t>WALL TYPE - C8 F2/S402</t>
  </si>
  <si>
    <t>WALL TYPE - C8 E2/S402</t>
  </si>
  <si>
    <t>WALL TYPE - C8 D2/S402</t>
  </si>
  <si>
    <t>WALL TYPE - C8 C2/S402</t>
  </si>
  <si>
    <t>WALL TYPE - C8 B2/S402</t>
  </si>
  <si>
    <t>THIRD FLOOR</t>
  </si>
  <si>
    <t>WALL TYPE - C8 A3/S403</t>
  </si>
  <si>
    <t>WALL TYPE - C8 B3/S403</t>
  </si>
  <si>
    <t>WALL TYPE - C8 C3/S403</t>
  </si>
  <si>
    <t>WALL TYPE - C8 D3/S403</t>
  </si>
  <si>
    <t>WALL TYPE - C8 E3/S403</t>
  </si>
  <si>
    <t>WALL TYPE - C8 F3/S403</t>
  </si>
  <si>
    <t>WALL TYPE - C8 G3/S403</t>
  </si>
  <si>
    <t>WALL TYPE - C8 H3/S403</t>
  </si>
  <si>
    <t>WALL TYPE - C8 I3/S403</t>
  </si>
  <si>
    <t>WALL TYPE - C8 J3/S403</t>
  </si>
  <si>
    <t>WALL TYPE - C8 K1&amp;L1/S401 &amp; K2&amp;L2/S402</t>
  </si>
  <si>
    <t>WALL TYPE - C8 M1/S401 &amp; M2/S402</t>
  </si>
  <si>
    <t>WALL TYPE - C8 G2/S402</t>
  </si>
  <si>
    <t>G2/S402</t>
  </si>
  <si>
    <t>8" Solid Grouted CMU Wall W/
- #5 @ 8" Vertical Reinforcement
- 8GA. Dur-O-Wall Horizontal Reinforcemnt @ 16" O.C.</t>
  </si>
  <si>
    <t>8" Solid Grouted CMU Wall W/
- #7 @ 8" Vertical Reinforcement Reinforcement
- 8GA. Dur-O-Wall Horizontal Reinforcemnt @ 16" O.C.</t>
  </si>
  <si>
    <t>8" Solid Grouted CMU Wall W/
- #5 @ 16" Vertical Reinforcement
- 8GA. Dur-O-Wall Horizontal Reinforcemnt @ 16" O.C.</t>
  </si>
  <si>
    <t>8" Solid Grouted CMU Wall W/
- #5 @ 24" Vertical Reinforcement
- 8GA. Dur-O-Wall Horizontal Reinforcemnt @ 16" O.C.</t>
  </si>
  <si>
    <t>8" Solid Grouted CMU Wall W/
- #6 @ 8" Vertical Reinforcement
- 8GA. Dur-O-Wall Horizontal Reinforcemnt @ 16" O.C.</t>
  </si>
  <si>
    <t>8" Solid Grouted CMU Wall W/
- #5 @ 8" Vertical Reinforcement Reinforcement
- 8GA. Dur-O-Wall Horizontal Reinforcemnt @ 16" O.C.</t>
  </si>
  <si>
    <t>8" Solid Grouted CMU Wall W/
- #4 @ 24" Vertical Reinforcement
- 8GA. Dur-O-Wall Horizontal Reinforcemnt @ 16" O.C.</t>
  </si>
  <si>
    <t>8" Solid Grouted CMU Wall W/
- #4 @ 8" Vertical Reinforcement
- 8GA. Dur-O-Wall Horizontal Reinforcemnt @ 16" O.C.</t>
  </si>
  <si>
    <t>8" Solid Grouted CMU Wall W/
- #4 @ 16" Vertical Reinforcement
- 8GA. Dur-O-Wall Horizontal Reinforcemnt @ 16" O.C.</t>
  </si>
  <si>
    <t>TOTAL BASE BID - PHASE 2</t>
  </si>
  <si>
    <t>TOTAL BASE BID - PHASE 1</t>
  </si>
  <si>
    <t>Unit Masonry</t>
  </si>
  <si>
    <t xml:space="preserve">Brick Veneer </t>
  </si>
  <si>
    <t>Loose Steel Angle Lintels</t>
  </si>
  <si>
    <t>LOOSE LINTELS</t>
  </si>
  <si>
    <t>INSULATION &amp; BARRIER</t>
  </si>
  <si>
    <t>2" XPS, R-10 Install with Drainage Plane Behind Panel</t>
  </si>
  <si>
    <t>Class 1, Vapor Impermeable WRB</t>
  </si>
  <si>
    <r>
      <rPr>
        <b/>
        <sz val="12"/>
        <rFont val="Calibri"/>
        <family val="2"/>
        <scheme val="minor"/>
      </rPr>
      <t>Brick Veneer As;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 1/2" Thick Thin Brick Adhered to Tabs II Galvanized Steel Panel O/
- 6MM Rainscreen
</t>
    </r>
    <r>
      <rPr>
        <b/>
        <sz val="12"/>
        <rFont val="Calibri"/>
        <family val="2"/>
        <scheme val="minor"/>
      </rPr>
      <t>Brick Color:</t>
    </r>
    <r>
      <rPr>
        <sz val="12"/>
        <rFont val="Calibri"/>
        <family val="2"/>
        <scheme val="minor"/>
      </rPr>
      <t xml:space="preserve"> Metrobrick 710 Charcoal</t>
    </r>
  </si>
  <si>
    <r>
      <rPr>
        <b/>
        <sz val="12"/>
        <rFont val="Calibri"/>
        <family val="2"/>
        <scheme val="minor"/>
      </rPr>
      <t>Brick Veneer As;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 1/2" Thick Thin Brick Adhered to Tabs II Galvanized Steel Panel O/
- 6MM Rainscreen
</t>
    </r>
    <r>
      <rPr>
        <b/>
        <sz val="12"/>
        <rFont val="Calibri"/>
        <family val="2"/>
        <scheme val="minor"/>
      </rPr>
      <t xml:space="preserve">Brick Color: </t>
    </r>
    <r>
      <rPr>
        <sz val="12"/>
        <rFont val="Calibri"/>
        <family val="2"/>
        <scheme val="minor"/>
      </rPr>
      <t>Metrobrick 100 Alabaster Smooth</t>
    </r>
  </si>
  <si>
    <r>
      <rPr>
        <b/>
        <sz val="12"/>
        <rFont val="Calibri"/>
        <family val="2"/>
        <scheme val="minor"/>
      </rPr>
      <t>Brick Veneer As;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 1/2" Thick Thin Brick Adhered to Tabs II Galvanized Steel Panel O/
- 6MM Rainscreen
</t>
    </r>
    <r>
      <rPr>
        <b/>
        <sz val="12"/>
        <rFont val="Calibri"/>
        <family val="2"/>
        <scheme val="minor"/>
      </rPr>
      <t xml:space="preserve">Brick Color: </t>
    </r>
    <r>
      <rPr>
        <sz val="12"/>
        <rFont val="Calibri"/>
        <family val="2"/>
        <scheme val="minor"/>
      </rPr>
      <t>Metrobrick 710 Charcoal On CMU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</si>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</sst>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_(&quot;$&quot;* #,##0_);_(&quot;$&quot;* \(#,##0\);_(&quot;$&quot;* &quot;-&quot;?_);_(@_)"/>
    <numFmt numFmtId="167" formatCode="&quot;$&quot;#,##0.00"/>
  </numFmts>
  <fonts count="28" x14ac:knownFonts="1">
    <font>
      <sz val="12"/>
      <name val="Arial"/>
      <family val="2"/>
    </font>
    <font>
      <sz val="12"/>
      <name val="Arial"/>
      <family val="2"/>
    </font>
    <font>
      <b/>
      <sz val="12"/>
      <color theme="0"/>
      <name val="Verdana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Verdana"/>
      <family val="2"/>
    </font>
    <font>
      <b/>
      <sz val="12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u/>
      <sz val="12"/>
      <color theme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color theme="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color rgb="FFFF512C"/>
      <name val="Times New Roman"/>
      <family val="1"/>
    </font>
    <font>
      <b/>
      <i/>
      <sz val="12"/>
      <color theme="5" tint="-0.249977111117893"/>
      <name val="Times New Roman"/>
      <family val="1"/>
    </font>
    <font>
      <b/>
      <i/>
      <sz val="14"/>
      <name val="Times New Roman"/>
      <family val="1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4"/>
      <name val="Times New Roman"/>
      <family val="1"/>
    </font>
    <font>
      <b/>
      <i/>
      <sz val="12"/>
      <color rgb="FF002060"/>
      <name val="Times New Roman"/>
      <family val="1"/>
    </font>
    <font>
      <b/>
      <u/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ED2D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5">
    <xf numFmtId="0" fontId="0" fillId="0" borderId="0" xfId="0"/>
    <xf numFmtId="2" fontId="2" fillId="2" borderId="2" xfId="0" applyNumberFormat="1" applyFont="1" applyFill="1" applyBorder="1" applyAlignment="1">
      <alignment vertical="top"/>
    </xf>
    <xf numFmtId="2" fontId="2" fillId="2" borderId="2" xfId="1" applyNumberFormat="1" applyFont="1" applyFill="1" applyBorder="1" applyAlignment="1">
      <alignment horizontal="center" vertical="top"/>
    </xf>
    <xf numFmtId="2" fontId="3" fillId="2" borderId="2" xfId="1" applyNumberFormat="1" applyFont="1" applyFill="1" applyBorder="1" applyAlignment="1">
      <alignment horizontal="center" vertical="top"/>
    </xf>
    <xf numFmtId="44" fontId="3" fillId="2" borderId="2" xfId="2" applyFont="1" applyFill="1" applyBorder="1" applyAlignment="1">
      <alignment horizontal="center" vertical="top"/>
    </xf>
    <xf numFmtId="0" fontId="4" fillId="0" borderId="0" xfId="1" applyFont="1" applyFill="1" applyBorder="1" applyAlignment="1">
      <alignment vertical="top"/>
    </xf>
    <xf numFmtId="0" fontId="4" fillId="0" borderId="4" xfId="1" applyFont="1" applyFill="1" applyBorder="1" applyAlignment="1">
      <alignment vertical="top"/>
    </xf>
    <xf numFmtId="0" fontId="4" fillId="3" borderId="6" xfId="0" applyFont="1" applyFill="1" applyBorder="1" applyAlignment="1">
      <alignment horizontal="center" vertical="top"/>
    </xf>
    <xf numFmtId="2" fontId="6" fillId="3" borderId="4" xfId="1" applyNumberFormat="1" applyFont="1" applyFill="1" applyBorder="1" applyAlignment="1">
      <alignment horizontal="left" vertical="top"/>
    </xf>
    <xf numFmtId="0" fontId="4" fillId="3" borderId="0" xfId="1" applyFont="1" applyFill="1" applyBorder="1" applyAlignment="1">
      <alignment vertical="top"/>
    </xf>
    <xf numFmtId="14" fontId="4" fillId="3" borderId="0" xfId="0" applyNumberFormat="1" applyFont="1" applyFill="1" applyBorder="1" applyAlignment="1">
      <alignment horizontal="left" vertical="top"/>
    </xf>
    <xf numFmtId="2" fontId="5" fillId="3" borderId="0" xfId="1" applyNumberFormat="1" applyFont="1" applyFill="1" applyBorder="1" applyAlignment="1">
      <alignment vertical="top"/>
    </xf>
    <xf numFmtId="2" fontId="6" fillId="3" borderId="0" xfId="1" applyNumberFormat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center" vertical="top" wrapText="1"/>
    </xf>
    <xf numFmtId="0" fontId="10" fillId="5" borderId="0" xfId="1" applyFont="1" applyFill="1" applyBorder="1" applyAlignment="1">
      <alignment vertical="top"/>
    </xf>
    <xf numFmtId="0" fontId="4" fillId="3" borderId="11" xfId="0" applyFont="1" applyFill="1" applyBorder="1" applyAlignment="1" applyProtection="1">
      <alignment horizontal="center" vertical="top" wrapText="1"/>
    </xf>
    <xf numFmtId="1" fontId="4" fillId="0" borderId="13" xfId="0" applyNumberFormat="1" applyFont="1" applyFill="1" applyBorder="1" applyAlignment="1">
      <alignment horizontal="center" vertical="top"/>
    </xf>
    <xf numFmtId="9" fontId="4" fillId="3" borderId="11" xfId="4" applyFont="1" applyFill="1" applyBorder="1" applyAlignment="1" applyProtection="1">
      <alignment horizontal="center" vertical="top"/>
    </xf>
    <xf numFmtId="0" fontId="4" fillId="3" borderId="11" xfId="0" applyFont="1" applyFill="1" applyBorder="1" applyAlignment="1">
      <alignment horizontal="center" vertical="top"/>
    </xf>
    <xf numFmtId="44" fontId="4" fillId="3" borderId="14" xfId="2" applyNumberFormat="1" applyFont="1" applyFill="1" applyBorder="1" applyAlignment="1" applyProtection="1">
      <alignment horizontal="center" vertical="top"/>
    </xf>
    <xf numFmtId="41" fontId="4" fillId="3" borderId="15" xfId="1" applyNumberFormat="1" applyFont="1" applyFill="1" applyBorder="1" applyAlignment="1">
      <alignment horizontal="center" vertical="top"/>
    </xf>
    <xf numFmtId="9" fontId="4" fillId="3" borderId="15" xfId="1" applyNumberFormat="1" applyFont="1" applyFill="1" applyBorder="1" applyAlignment="1">
      <alignment horizontal="center" vertical="top"/>
    </xf>
    <xf numFmtId="0" fontId="4" fillId="3" borderId="15" xfId="1" applyFont="1" applyFill="1" applyBorder="1" applyAlignment="1">
      <alignment horizontal="center" vertical="top"/>
    </xf>
    <xf numFmtId="164" fontId="4" fillId="3" borderId="16" xfId="1" applyNumberFormat="1" applyFont="1" applyFill="1" applyBorder="1" applyAlignment="1" applyProtection="1">
      <alignment horizontal="center" vertical="top"/>
    </xf>
    <xf numFmtId="1" fontId="4" fillId="0" borderId="11" xfId="1" applyNumberFormat="1" applyFont="1" applyFill="1" applyBorder="1" applyAlignment="1">
      <alignment horizontal="center" vertical="top"/>
    </xf>
    <xf numFmtId="9" fontId="4" fillId="0" borderId="13" xfId="1" applyNumberFormat="1" applyFont="1" applyFill="1" applyBorder="1" applyAlignment="1">
      <alignment horizontal="center" vertical="top"/>
    </xf>
    <xf numFmtId="41" fontId="4" fillId="0" borderId="11" xfId="1" applyNumberFormat="1" applyFont="1" applyFill="1" applyBorder="1" applyAlignment="1">
      <alignment horizontal="center" vertical="top"/>
    </xf>
    <xf numFmtId="0" fontId="4" fillId="0" borderId="11" xfId="1" applyFont="1" applyFill="1" applyBorder="1" applyAlignment="1">
      <alignment horizontal="center" vertical="top"/>
    </xf>
    <xf numFmtId="164" fontId="4" fillId="0" borderId="14" xfId="1" applyNumberFormat="1" applyFont="1" applyFill="1" applyBorder="1" applyAlignment="1" applyProtection="1">
      <alignment horizontal="center" vertical="top"/>
    </xf>
    <xf numFmtId="41" fontId="4" fillId="0" borderId="11" xfId="0" applyNumberFormat="1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2" fontId="4" fillId="0" borderId="13" xfId="0" applyNumberFormat="1" applyFont="1" applyFill="1" applyBorder="1" applyAlignment="1">
      <alignment horizontal="left" vertical="top" wrapText="1"/>
    </xf>
    <xf numFmtId="0" fontId="4" fillId="3" borderId="11" xfId="0" applyFont="1" applyFill="1" applyBorder="1" applyAlignment="1" applyProtection="1">
      <alignment horizontal="center" vertical="top"/>
    </xf>
    <xf numFmtId="0" fontId="4" fillId="3" borderId="14" xfId="0" applyFont="1" applyFill="1" applyBorder="1" applyAlignment="1" applyProtection="1">
      <alignment horizontal="center" vertical="top" wrapText="1"/>
    </xf>
    <xf numFmtId="9" fontId="4" fillId="3" borderId="11" xfId="0" applyNumberFormat="1" applyFont="1" applyFill="1" applyBorder="1" applyAlignment="1">
      <alignment horizontal="center" vertical="top"/>
    </xf>
    <xf numFmtId="1" fontId="4" fillId="0" borderId="11" xfId="0" applyNumberFormat="1" applyFont="1" applyFill="1" applyBorder="1" applyAlignment="1" applyProtection="1">
      <alignment horizontal="right" vertical="top"/>
    </xf>
    <xf numFmtId="2" fontId="6" fillId="0" borderId="1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/>
    </xf>
    <xf numFmtId="2" fontId="4" fillId="0" borderId="11" xfId="0" applyNumberFormat="1" applyFont="1" applyFill="1" applyBorder="1" applyAlignment="1">
      <alignment horizontal="left" vertical="top" wrapText="1"/>
    </xf>
    <xf numFmtId="1" fontId="6" fillId="6" borderId="1" xfId="1" applyNumberFormat="1" applyFont="1" applyFill="1" applyBorder="1" applyAlignment="1">
      <alignment horizontal="left" vertical="top"/>
    </xf>
    <xf numFmtId="1" fontId="6" fillId="6" borderId="2" xfId="1" applyNumberFormat="1" applyFont="1" applyFill="1" applyBorder="1" applyAlignment="1">
      <alignment horizontal="left" vertical="top"/>
    </xf>
    <xf numFmtId="0" fontId="4" fillId="6" borderId="2" xfId="1" applyFont="1" applyFill="1" applyBorder="1" applyAlignment="1">
      <alignment horizontal="left" vertical="top" wrapText="1"/>
    </xf>
    <xf numFmtId="1" fontId="4" fillId="6" borderId="2" xfId="1" applyNumberFormat="1" applyFont="1" applyFill="1" applyBorder="1" applyAlignment="1">
      <alignment horizontal="center" vertical="top"/>
    </xf>
    <xf numFmtId="41" fontId="4" fillId="6" borderId="2" xfId="1" applyNumberFormat="1" applyFont="1" applyFill="1" applyBorder="1" applyAlignment="1">
      <alignment horizontal="right" vertical="top"/>
    </xf>
    <xf numFmtId="0" fontId="4" fillId="6" borderId="2" xfId="1" applyFont="1" applyFill="1" applyBorder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5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/>
    </xf>
    <xf numFmtId="2" fontId="4" fillId="0" borderId="0" xfId="1" applyNumberFormat="1" applyFont="1" applyBorder="1" applyAlignment="1">
      <alignment horizontal="left" vertical="top" wrapText="1"/>
    </xf>
    <xf numFmtId="1" fontId="4" fillId="0" borderId="0" xfId="1" applyNumberFormat="1" applyFont="1" applyBorder="1" applyAlignment="1">
      <alignment horizontal="center" vertical="top" wrapText="1"/>
    </xf>
    <xf numFmtId="2" fontId="4" fillId="0" borderId="0" xfId="1" applyNumberFormat="1" applyFont="1" applyBorder="1" applyAlignment="1">
      <alignment horizontal="center" vertical="top" wrapText="1"/>
    </xf>
    <xf numFmtId="44" fontId="4" fillId="0" borderId="0" xfId="2" applyFont="1" applyBorder="1" applyAlignment="1">
      <alignment horizontal="center" vertical="top"/>
    </xf>
    <xf numFmtId="165" fontId="4" fillId="0" borderId="0" xfId="1" applyNumberFormat="1" applyFont="1" applyBorder="1" applyAlignment="1">
      <alignment vertical="top"/>
    </xf>
    <xf numFmtId="2" fontId="8" fillId="3" borderId="0" xfId="3" applyNumberFormat="1" applyFill="1" applyBorder="1" applyAlignment="1">
      <alignment horizontal="center" vertical="top"/>
    </xf>
    <xf numFmtId="2" fontId="11" fillId="2" borderId="10" xfId="1" applyNumberFormat="1" applyFont="1" applyFill="1" applyBorder="1" applyAlignment="1">
      <alignment horizontal="left" vertical="top"/>
    </xf>
    <xf numFmtId="0" fontId="11" fillId="2" borderId="4" xfId="1" applyFont="1" applyFill="1" applyBorder="1" applyAlignment="1">
      <alignment vertical="top"/>
    </xf>
    <xf numFmtId="2" fontId="11" fillId="2" borderId="12" xfId="1" applyNumberFormat="1" applyFont="1" applyFill="1" applyBorder="1" applyAlignment="1">
      <alignment horizontal="left" vertical="top"/>
    </xf>
    <xf numFmtId="0" fontId="11" fillId="2" borderId="8" xfId="1" applyFont="1" applyFill="1" applyBorder="1" applyAlignment="1">
      <alignment vertical="top"/>
    </xf>
    <xf numFmtId="0" fontId="11" fillId="2" borderId="12" xfId="1" applyFont="1" applyFill="1" applyBorder="1" applyAlignment="1">
      <alignment vertical="top"/>
    </xf>
    <xf numFmtId="0" fontId="12" fillId="0" borderId="10" xfId="1" applyFont="1" applyBorder="1"/>
    <xf numFmtId="0" fontId="12" fillId="0" borderId="4" xfId="1" applyFont="1" applyBorder="1"/>
    <xf numFmtId="2" fontId="14" fillId="3" borderId="4" xfId="1" applyNumberFormat="1" applyFont="1" applyFill="1" applyBorder="1" applyAlignment="1">
      <alignment vertical="top"/>
    </xf>
    <xf numFmtId="0" fontId="12" fillId="3" borderId="7" xfId="1" applyFont="1" applyFill="1" applyBorder="1" applyAlignment="1">
      <alignment vertical="top"/>
    </xf>
    <xf numFmtId="0" fontId="12" fillId="0" borderId="0" xfId="1" applyFont="1"/>
    <xf numFmtId="0" fontId="12" fillId="0" borderId="5" xfId="1" applyFont="1" applyBorder="1"/>
    <xf numFmtId="0" fontId="12" fillId="0" borderId="0" xfId="1" applyFont="1" applyBorder="1"/>
    <xf numFmtId="2" fontId="14" fillId="3" borderId="0" xfId="1" applyNumberFormat="1" applyFont="1" applyFill="1" applyBorder="1" applyAlignment="1">
      <alignment vertical="top"/>
    </xf>
    <xf numFmtId="0" fontId="12" fillId="3" borderId="6" xfId="1" applyFont="1" applyFill="1" applyBorder="1" applyAlignment="1">
      <alignment vertical="top"/>
    </xf>
    <xf numFmtId="0" fontId="13" fillId="3" borderId="5" xfId="1" applyFont="1" applyFill="1" applyBorder="1" applyAlignment="1">
      <alignment horizontal="left" vertical="top"/>
    </xf>
    <xf numFmtId="0" fontId="13" fillId="3" borderId="0" xfId="1" applyFont="1" applyFill="1" applyBorder="1" applyAlignment="1">
      <alignment horizontal="left" vertical="top"/>
    </xf>
    <xf numFmtId="2" fontId="13" fillId="7" borderId="0" xfId="1" applyNumberFormat="1" applyFont="1" applyFill="1" applyBorder="1" applyAlignment="1">
      <alignment horizontal="left" vertical="top"/>
    </xf>
    <xf numFmtId="14" fontId="15" fillId="2" borderId="7" xfId="1" applyNumberFormat="1" applyFont="1" applyFill="1" applyBorder="1" applyAlignment="1">
      <alignment vertical="top"/>
    </xf>
    <xf numFmtId="0" fontId="13" fillId="3" borderId="6" xfId="1" applyFont="1" applyFill="1" applyBorder="1" applyAlignment="1">
      <alignment horizontal="left" vertical="top"/>
    </xf>
    <xf numFmtId="14" fontId="12" fillId="3" borderId="0" xfId="1" applyNumberFormat="1" applyFont="1" applyFill="1" applyBorder="1" applyAlignment="1">
      <alignment horizontal="left" vertical="top"/>
    </xf>
    <xf numFmtId="14" fontId="12" fillId="3" borderId="5" xfId="1" applyNumberFormat="1" applyFont="1" applyFill="1" applyBorder="1" applyAlignment="1">
      <alignment horizontal="left" vertical="top"/>
    </xf>
    <xf numFmtId="14" fontId="15" fillId="2" borderId="9" xfId="1" applyNumberFormat="1" applyFont="1" applyFill="1" applyBorder="1" applyAlignment="1">
      <alignment vertical="top"/>
    </xf>
    <xf numFmtId="14" fontId="12" fillId="3" borderId="6" xfId="1" applyNumberFormat="1" applyFont="1" applyFill="1" applyBorder="1" applyAlignment="1">
      <alignment horizontal="left" vertical="top"/>
    </xf>
    <xf numFmtId="0" fontId="16" fillId="0" borderId="0" xfId="1" applyFont="1" applyBorder="1" applyAlignment="1">
      <alignment horizontal="left" vertical="top"/>
    </xf>
    <xf numFmtId="0" fontId="12" fillId="0" borderId="6" xfId="1" applyFont="1" applyBorder="1"/>
    <xf numFmtId="49" fontId="12" fillId="0" borderId="10" xfId="1" applyNumberFormat="1" applyFont="1" applyBorder="1" applyAlignment="1">
      <alignment horizontal="center" vertical="top" wrapText="1"/>
    </xf>
    <xf numFmtId="166" fontId="13" fillId="3" borderId="7" xfId="1" applyNumberFormat="1" applyFont="1" applyFill="1" applyBorder="1" applyAlignment="1" applyProtection="1">
      <alignment horizontal="left" vertical="top"/>
    </xf>
    <xf numFmtId="49" fontId="12" fillId="0" borderId="5" xfId="1" applyNumberFormat="1" applyFont="1" applyBorder="1" applyAlignment="1">
      <alignment horizontal="center" vertical="top" wrapText="1"/>
    </xf>
    <xf numFmtId="166" fontId="13" fillId="3" borderId="6" xfId="1" applyNumberFormat="1" applyFont="1" applyFill="1" applyBorder="1" applyAlignment="1" applyProtection="1">
      <alignment horizontal="left" vertical="top"/>
    </xf>
    <xf numFmtId="167" fontId="13" fillId="3" borderId="0" xfId="1" applyNumberFormat="1" applyFont="1" applyFill="1" applyBorder="1" applyAlignment="1">
      <alignment horizontal="left" vertical="top"/>
    </xf>
    <xf numFmtId="0" fontId="11" fillId="2" borderId="8" xfId="1" applyFont="1" applyFill="1" applyBorder="1" applyAlignment="1">
      <alignment vertical="top" wrapText="1"/>
    </xf>
    <xf numFmtId="165" fontId="11" fillId="2" borderId="9" xfId="1" applyNumberFormat="1" applyFont="1" applyFill="1" applyBorder="1" applyAlignment="1">
      <alignment vertical="top"/>
    </xf>
    <xf numFmtId="0" fontId="17" fillId="0" borderId="8" xfId="1" applyFont="1" applyBorder="1" applyAlignment="1"/>
    <xf numFmtId="0" fontId="12" fillId="0" borderId="8" xfId="1" applyFont="1" applyBorder="1"/>
    <xf numFmtId="0" fontId="18" fillId="0" borderId="8" xfId="1" applyFont="1" applyBorder="1"/>
    <xf numFmtId="0" fontId="12" fillId="0" borderId="9" xfId="1" applyFont="1" applyBorder="1"/>
    <xf numFmtId="0" fontId="11" fillId="2" borderId="10" xfId="1" applyFont="1" applyFill="1" applyBorder="1" applyAlignment="1">
      <alignment vertical="top"/>
    </xf>
    <xf numFmtId="0" fontId="11" fillId="2" borderId="4" xfId="1" applyFont="1" applyFill="1" applyBorder="1" applyAlignment="1">
      <alignment vertical="top" wrapText="1"/>
    </xf>
    <xf numFmtId="165" fontId="11" fillId="2" borderId="7" xfId="1" applyNumberFormat="1" applyFont="1" applyFill="1" applyBorder="1" applyAlignment="1">
      <alignment vertical="top"/>
    </xf>
    <xf numFmtId="166" fontId="6" fillId="3" borderId="6" xfId="1" applyNumberFormat="1" applyFont="1" applyFill="1" applyBorder="1" applyAlignment="1" applyProtection="1">
      <alignment horizontal="center" vertical="top"/>
    </xf>
    <xf numFmtId="164" fontId="4" fillId="0" borderId="19" xfId="1" applyNumberFormat="1" applyFont="1" applyFill="1" applyBorder="1" applyAlignment="1">
      <alignment horizontal="center" vertical="top"/>
    </xf>
    <xf numFmtId="164" fontId="4" fillId="3" borderId="20" xfId="1" applyNumberFormat="1" applyFont="1" applyFill="1" applyBorder="1" applyAlignment="1">
      <alignment horizontal="center" vertical="top"/>
    </xf>
    <xf numFmtId="164" fontId="4" fillId="3" borderId="9" xfId="1" applyNumberFormat="1" applyFont="1" applyFill="1" applyBorder="1" applyAlignment="1">
      <alignment horizontal="center" vertical="top"/>
    </xf>
    <xf numFmtId="164" fontId="6" fillId="0" borderId="19" xfId="2" applyNumberFormat="1" applyFont="1" applyFill="1" applyBorder="1" applyAlignment="1">
      <alignment horizontal="center" vertical="top"/>
    </xf>
    <xf numFmtId="164" fontId="6" fillId="0" borderId="3" xfId="2" applyNumberFormat="1" applyFont="1" applyFill="1" applyBorder="1" applyAlignment="1">
      <alignment horizontal="center" vertical="top"/>
    </xf>
    <xf numFmtId="164" fontId="6" fillId="6" borderId="3" xfId="1" applyNumberFormat="1" applyFont="1" applyFill="1" applyBorder="1" applyAlignment="1">
      <alignment horizontal="left" vertical="top"/>
    </xf>
    <xf numFmtId="165" fontId="13" fillId="3" borderId="0" xfId="1" applyNumberFormat="1" applyFont="1" applyFill="1" applyBorder="1" applyAlignment="1">
      <alignment horizontal="left" vertical="top"/>
    </xf>
    <xf numFmtId="0" fontId="6" fillId="3" borderId="0" xfId="1" applyFont="1" applyFill="1" applyBorder="1" applyAlignment="1">
      <alignment vertical="top"/>
    </xf>
    <xf numFmtId="2" fontId="13" fillId="0" borderId="5" xfId="1" applyNumberFormat="1" applyFont="1" applyFill="1" applyBorder="1" applyAlignment="1">
      <alignment horizontal="left" vertical="top" wrapText="1"/>
    </xf>
    <xf numFmtId="164" fontId="4" fillId="3" borderId="0" xfId="1" applyNumberFormat="1" applyFont="1" applyFill="1" applyBorder="1" applyAlignment="1">
      <alignment vertical="top"/>
    </xf>
    <xf numFmtId="44" fontId="4" fillId="8" borderId="14" xfId="2" applyNumberFormat="1" applyFont="1" applyFill="1" applyBorder="1" applyAlignment="1" applyProtection="1">
      <alignment horizontal="center" vertical="top"/>
    </xf>
    <xf numFmtId="0" fontId="20" fillId="0" borderId="5" xfId="1" applyFont="1" applyBorder="1" applyAlignment="1">
      <alignment horizontal="left" vertical="top"/>
    </xf>
    <xf numFmtId="44" fontId="21" fillId="3" borderId="0" xfId="5" applyFont="1" applyFill="1" applyBorder="1" applyAlignment="1">
      <alignment horizontal="center" vertical="top"/>
    </xf>
    <xf numFmtId="0" fontId="22" fillId="3" borderId="9" xfId="0" applyFont="1" applyFill="1" applyBorder="1" applyAlignment="1" applyProtection="1">
      <alignment horizontal="center" vertical="top"/>
    </xf>
    <xf numFmtId="1" fontId="13" fillId="3" borderId="0" xfId="1" applyNumberFormat="1" applyFont="1" applyFill="1" applyBorder="1" applyAlignment="1">
      <alignment horizontal="left" vertical="top"/>
    </xf>
    <xf numFmtId="2" fontId="5" fillId="7" borderId="0" xfId="1" applyNumberFormat="1" applyFont="1" applyFill="1" applyBorder="1" applyAlignment="1">
      <alignment vertical="top"/>
    </xf>
    <xf numFmtId="0" fontId="17" fillId="0" borderId="0" xfId="1" applyFont="1" applyBorder="1" applyAlignment="1"/>
    <xf numFmtId="0" fontId="20" fillId="0" borderId="12" xfId="1" applyFont="1" applyBorder="1" applyAlignment="1">
      <alignment horizontal="left" vertical="top"/>
    </xf>
    <xf numFmtId="9" fontId="6" fillId="9" borderId="17" xfId="6" applyFont="1" applyFill="1" applyBorder="1" applyAlignment="1">
      <alignment horizontal="center" vertical="top"/>
    </xf>
    <xf numFmtId="164" fontId="6" fillId="6" borderId="3" xfId="1" applyNumberFormat="1" applyFont="1" applyFill="1" applyBorder="1" applyAlignment="1" applyProtection="1">
      <alignment horizontal="center" vertical="top"/>
    </xf>
    <xf numFmtId="1" fontId="9" fillId="2" borderId="1" xfId="1" applyNumberFormat="1" applyFont="1" applyFill="1" applyBorder="1" applyAlignment="1">
      <alignment horizontal="left" vertical="top"/>
    </xf>
    <xf numFmtId="1" fontId="9" fillId="2" borderId="2" xfId="1" applyNumberFormat="1" applyFont="1" applyFill="1" applyBorder="1" applyAlignment="1">
      <alignment horizontal="left" vertical="top"/>
    </xf>
    <xf numFmtId="0" fontId="3" fillId="2" borderId="2" xfId="1" applyFont="1" applyFill="1" applyBorder="1" applyAlignment="1">
      <alignment horizontal="left" vertical="top" wrapText="1"/>
    </xf>
    <xf numFmtId="1" fontId="3" fillId="2" borderId="2" xfId="1" applyNumberFormat="1" applyFont="1" applyFill="1" applyBorder="1" applyAlignment="1">
      <alignment horizontal="center" vertical="top"/>
    </xf>
    <xf numFmtId="41" fontId="3" fillId="2" borderId="2" xfId="1" applyNumberFormat="1" applyFont="1" applyFill="1" applyBorder="1" applyAlignment="1">
      <alignment horizontal="right" vertical="top"/>
    </xf>
    <xf numFmtId="0" fontId="3" fillId="2" borderId="2" xfId="1" applyFont="1" applyFill="1" applyBorder="1" applyAlignment="1">
      <alignment horizontal="center" vertical="top"/>
    </xf>
    <xf numFmtId="164" fontId="9" fillId="2" borderId="3" xfId="1" applyNumberFormat="1" applyFont="1" applyFill="1" applyBorder="1" applyAlignment="1">
      <alignment horizontal="left" vertical="top"/>
    </xf>
    <xf numFmtId="166" fontId="9" fillId="2" borderId="3" xfId="1" applyNumberFormat="1" applyFont="1" applyFill="1" applyBorder="1" applyAlignment="1" applyProtection="1">
      <alignment horizontal="center" vertical="top"/>
    </xf>
    <xf numFmtId="0" fontId="11" fillId="2" borderId="5" xfId="1" applyFont="1" applyFill="1" applyBorder="1" applyAlignment="1">
      <alignment vertical="top"/>
    </xf>
    <xf numFmtId="165" fontId="11" fillId="2" borderId="6" xfId="1" applyNumberFormat="1" applyFont="1" applyFill="1" applyBorder="1" applyAlignment="1">
      <alignment vertical="top"/>
    </xf>
    <xf numFmtId="9" fontId="23" fillId="9" borderId="0" xfId="6" applyFont="1" applyFill="1" applyBorder="1" applyAlignment="1">
      <alignment vertical="top" wrapText="1"/>
    </xf>
    <xf numFmtId="1" fontId="9" fillId="2" borderId="10" xfId="1" applyNumberFormat="1" applyFont="1" applyFill="1" applyBorder="1" applyAlignment="1">
      <alignment horizontal="left" vertical="top"/>
    </xf>
    <xf numFmtId="1" fontId="9" fillId="2" borderId="4" xfId="1" applyNumberFormat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 wrapText="1"/>
    </xf>
    <xf numFmtId="1" fontId="3" fillId="2" borderId="4" xfId="1" applyNumberFormat="1" applyFont="1" applyFill="1" applyBorder="1" applyAlignment="1">
      <alignment horizontal="center" vertical="top"/>
    </xf>
    <xf numFmtId="41" fontId="3" fillId="2" borderId="4" xfId="1" applyNumberFormat="1" applyFont="1" applyFill="1" applyBorder="1" applyAlignment="1">
      <alignment horizontal="right" vertical="top"/>
    </xf>
    <xf numFmtId="0" fontId="3" fillId="2" borderId="4" xfId="1" applyFont="1" applyFill="1" applyBorder="1" applyAlignment="1">
      <alignment horizontal="center" vertical="top"/>
    </xf>
    <xf numFmtId="44" fontId="3" fillId="2" borderId="4" xfId="2" applyFont="1" applyFill="1" applyBorder="1" applyAlignment="1">
      <alignment horizontal="center" vertical="top"/>
    </xf>
    <xf numFmtId="164" fontId="9" fillId="2" borderId="7" xfId="1" applyNumberFormat="1" applyFont="1" applyFill="1" applyBorder="1" applyAlignment="1">
      <alignment horizontal="left" vertical="top"/>
    </xf>
    <xf numFmtId="0" fontId="4" fillId="0" borderId="21" xfId="1" applyFont="1" applyFill="1" applyBorder="1" applyAlignment="1" applyProtection="1">
      <alignment horizontal="center" vertical="top"/>
    </xf>
    <xf numFmtId="1" fontId="24" fillId="10" borderId="2" xfId="1" applyNumberFormat="1" applyFont="1" applyFill="1" applyBorder="1" applyAlignment="1" applyProtection="1">
      <alignment horizontal="center" vertical="top" wrapText="1"/>
    </xf>
    <xf numFmtId="0" fontId="24" fillId="10" borderId="2" xfId="1" applyFont="1" applyFill="1" applyBorder="1" applyAlignment="1" applyProtection="1">
      <alignment horizontal="center" vertical="top" wrapText="1"/>
    </xf>
    <xf numFmtId="0" fontId="6" fillId="4" borderId="12" xfId="1" applyFont="1" applyFill="1" applyBorder="1" applyAlignment="1">
      <alignment vertical="top"/>
    </xf>
    <xf numFmtId="0" fontId="6" fillId="4" borderId="8" xfId="1" applyFont="1" applyFill="1" applyBorder="1" applyAlignment="1">
      <alignment vertical="top"/>
    </xf>
    <xf numFmtId="0" fontId="6" fillId="4" borderId="8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left" vertical="top"/>
    </xf>
    <xf numFmtId="1" fontId="4" fillId="4" borderId="8" xfId="1" applyNumberFormat="1" applyFont="1" applyFill="1" applyBorder="1" applyAlignment="1">
      <alignment horizontal="center" vertical="top"/>
    </xf>
    <xf numFmtId="0" fontId="4" fillId="4" borderId="8" xfId="1" applyFont="1" applyFill="1" applyBorder="1" applyAlignment="1">
      <alignment vertical="top"/>
    </xf>
    <xf numFmtId="164" fontId="4" fillId="4" borderId="8" xfId="2" applyNumberFormat="1" applyFont="1" applyFill="1" applyBorder="1" applyAlignment="1">
      <alignment vertical="top"/>
    </xf>
    <xf numFmtId="0" fontId="4" fillId="4" borderId="9" xfId="1" applyFont="1" applyFill="1" applyBorder="1" applyAlignment="1">
      <alignment vertical="top"/>
    </xf>
    <xf numFmtId="0" fontId="24" fillId="10" borderId="1" xfId="1" applyFont="1" applyFill="1" applyBorder="1" applyAlignment="1" applyProtection="1">
      <alignment horizontal="center" vertical="top" wrapText="1"/>
    </xf>
    <xf numFmtId="165" fontId="24" fillId="10" borderId="3" xfId="1" applyNumberFormat="1" applyFont="1" applyFill="1" applyBorder="1" applyAlignment="1" applyProtection="1">
      <alignment horizontal="center" vertical="top" wrapText="1"/>
    </xf>
    <xf numFmtId="164" fontId="21" fillId="3" borderId="0" xfId="2" applyNumberFormat="1" applyFont="1" applyFill="1" applyBorder="1" applyAlignment="1" applyProtection="1">
      <alignment horizontal="left" vertical="top"/>
    </xf>
    <xf numFmtId="164" fontId="6" fillId="3" borderId="0" xfId="2" applyNumberFormat="1" applyFont="1" applyFill="1" applyBorder="1" applyAlignment="1" applyProtection="1">
      <alignment horizontal="left" vertical="top"/>
    </xf>
    <xf numFmtId="0" fontId="20" fillId="3" borderId="0" xfId="1" applyFont="1" applyFill="1" applyBorder="1" applyAlignment="1">
      <alignment vertical="top"/>
    </xf>
    <xf numFmtId="0" fontId="22" fillId="3" borderId="6" xfId="0" applyFont="1" applyFill="1" applyBorder="1" applyAlignment="1" applyProtection="1">
      <alignment horizontal="center" vertical="top"/>
    </xf>
    <xf numFmtId="2" fontId="5" fillId="11" borderId="0" xfId="1" applyNumberFormat="1" applyFont="1" applyFill="1" applyBorder="1" applyAlignment="1">
      <alignment vertical="top"/>
    </xf>
    <xf numFmtId="0" fontId="4" fillId="11" borderId="0" xfId="1" applyFont="1" applyFill="1" applyBorder="1" applyAlignment="1">
      <alignment vertical="top"/>
    </xf>
    <xf numFmtId="2" fontId="2" fillId="2" borderId="3" xfId="0" applyNumberFormat="1" applyFont="1" applyFill="1" applyBorder="1" applyAlignment="1">
      <alignment horizontal="left" vertical="top"/>
    </xf>
    <xf numFmtId="0" fontId="9" fillId="2" borderId="1" xfId="1" applyFont="1" applyFill="1" applyBorder="1" applyAlignment="1" applyProtection="1">
      <alignment horizontal="center" vertical="top" wrapText="1"/>
    </xf>
    <xf numFmtId="1" fontId="9" fillId="2" borderId="2" xfId="1" applyNumberFormat="1" applyFont="1" applyFill="1" applyBorder="1" applyAlignment="1" applyProtection="1">
      <alignment horizontal="center" vertical="top" wrapText="1"/>
    </xf>
    <xf numFmtId="0" fontId="9" fillId="2" borderId="2" xfId="1" applyFont="1" applyFill="1" applyBorder="1" applyAlignment="1" applyProtection="1">
      <alignment horizontal="center" vertical="top" wrapText="1"/>
    </xf>
    <xf numFmtId="165" fontId="9" fillId="2" borderId="3" xfId="1" applyNumberFormat="1" applyFont="1" applyFill="1" applyBorder="1" applyAlignment="1" applyProtection="1">
      <alignment horizontal="center" vertical="top" wrapText="1"/>
    </xf>
    <xf numFmtId="2" fontId="21" fillId="10" borderId="4" xfId="1" applyNumberFormat="1" applyFont="1" applyFill="1" applyBorder="1" applyAlignment="1">
      <alignment horizontal="left" vertical="top" wrapText="1"/>
    </xf>
    <xf numFmtId="166" fontId="13" fillId="10" borderId="7" xfId="1" applyNumberFormat="1" applyFont="1" applyFill="1" applyBorder="1" applyAlignment="1" applyProtection="1">
      <alignment horizontal="left" vertical="top"/>
    </xf>
    <xf numFmtId="49" fontId="13" fillId="10" borderId="10" xfId="1" applyNumberFormat="1" applyFont="1" applyFill="1" applyBorder="1" applyAlignment="1">
      <alignment horizontal="center" vertical="top" wrapText="1"/>
    </xf>
    <xf numFmtId="2" fontId="25" fillId="0" borderId="4" xfId="1" applyNumberFormat="1" applyFont="1" applyFill="1" applyBorder="1" applyAlignment="1">
      <alignment horizontal="left" vertical="top" wrapText="1"/>
    </xf>
    <xf numFmtId="2" fontId="25" fillId="0" borderId="0" xfId="1" applyNumberFormat="1" applyFont="1" applyFill="1" applyBorder="1" applyAlignment="1">
      <alignment horizontal="left" vertical="top" wrapText="1"/>
    </xf>
    <xf numFmtId="0" fontId="26" fillId="10" borderId="17" xfId="1" applyFont="1" applyFill="1" applyBorder="1"/>
    <xf numFmtId="14" fontId="7" fillId="3" borderId="6" xfId="1" applyNumberFormat="1" applyFont="1" applyFill="1" applyBorder="1" applyAlignment="1">
      <alignment horizontal="left" vertical="top"/>
    </xf>
    <xf numFmtId="2" fontId="8" fillId="3" borderId="6" xfId="3" applyNumberFormat="1" applyFill="1" applyBorder="1" applyAlignment="1">
      <alignment horizontal="center" vertical="top"/>
    </xf>
    <xf numFmtId="164" fontId="21" fillId="3" borderId="8" xfId="2" applyNumberFormat="1" applyFont="1" applyFill="1" applyBorder="1" applyAlignment="1" applyProtection="1">
      <alignment horizontal="left" vertical="top"/>
    </xf>
    <xf numFmtId="164" fontId="6" fillId="3" borderId="8" xfId="2" applyNumberFormat="1" applyFont="1" applyFill="1" applyBorder="1" applyAlignment="1" applyProtection="1">
      <alignment horizontal="left" vertical="top"/>
    </xf>
    <xf numFmtId="0" fontId="20" fillId="3" borderId="8" xfId="1" applyFont="1" applyFill="1" applyBorder="1" applyAlignment="1">
      <alignment vertical="top"/>
    </xf>
    <xf numFmtId="0" fontId="4" fillId="3" borderId="8" xfId="1" applyFont="1" applyFill="1" applyBorder="1" applyAlignment="1">
      <alignment vertical="top"/>
    </xf>
    <xf numFmtId="2" fontId="8" fillId="3" borderId="8" xfId="3" applyNumberFormat="1" applyFill="1" applyBorder="1" applyAlignment="1">
      <alignment horizontal="center" vertical="top"/>
    </xf>
    <xf numFmtId="2" fontId="8" fillId="3" borderId="9" xfId="3" applyNumberFormat="1" applyFill="1" applyBorder="1" applyAlignment="1">
      <alignment horizontal="center" vertical="top"/>
    </xf>
    <xf numFmtId="0" fontId="4" fillId="3" borderId="11" xfId="1" applyFont="1" applyFill="1" applyBorder="1" applyAlignment="1" applyProtection="1">
      <alignment horizontal="center" vertical="top"/>
    </xf>
    <xf numFmtId="0" fontId="4" fillId="12" borderId="1" xfId="0" applyFont="1" applyFill="1" applyBorder="1" applyAlignment="1" applyProtection="1">
      <alignment horizontal="center" vertical="top" wrapText="1"/>
    </xf>
    <xf numFmtId="2" fontId="6" fillId="12" borderId="4" xfId="0" applyNumberFormat="1" applyFont="1" applyFill="1" applyBorder="1" applyAlignment="1">
      <alignment vertical="top" wrapText="1"/>
    </xf>
    <xf numFmtId="0" fontId="4" fillId="12" borderId="4" xfId="0" applyFont="1" applyFill="1" applyBorder="1" applyAlignment="1">
      <alignment vertical="top"/>
    </xf>
    <xf numFmtId="0" fontId="4" fillId="12" borderId="3" xfId="0" applyFont="1" applyFill="1" applyBorder="1" applyAlignment="1">
      <alignment vertical="top"/>
    </xf>
    <xf numFmtId="41" fontId="4" fillId="0" borderId="22" xfId="1" applyNumberFormat="1" applyFont="1" applyFill="1" applyBorder="1" applyAlignment="1">
      <alignment horizontal="center" vertical="top"/>
    </xf>
    <xf numFmtId="0" fontId="4" fillId="0" borderId="23" xfId="1" applyFont="1" applyFill="1" applyBorder="1" applyAlignment="1">
      <alignment horizontal="center" vertical="top"/>
    </xf>
    <xf numFmtId="164" fontId="4" fillId="0" borderId="13" xfId="2" applyNumberFormat="1" applyFont="1" applyFill="1" applyBorder="1" applyAlignment="1">
      <alignment horizontal="center" vertical="top"/>
    </xf>
    <xf numFmtId="166" fontId="6" fillId="0" borderId="24" xfId="1" applyNumberFormat="1" applyFont="1" applyFill="1" applyBorder="1" applyAlignment="1" applyProtection="1">
      <alignment horizontal="center" vertical="top"/>
    </xf>
    <xf numFmtId="0" fontId="4" fillId="3" borderId="13" xfId="1" applyFont="1" applyFill="1" applyBorder="1" applyAlignment="1" applyProtection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</xf>
    <xf numFmtId="2" fontId="6" fillId="13" borderId="1" xfId="0" applyNumberFormat="1" applyFont="1" applyFill="1" applyBorder="1" applyAlignment="1">
      <alignment vertical="top" wrapText="1"/>
    </xf>
    <xf numFmtId="2" fontId="6" fillId="13" borderId="2" xfId="0" applyNumberFormat="1" applyFont="1" applyFill="1" applyBorder="1" applyAlignment="1">
      <alignment horizontal="center" vertical="top" wrapText="1"/>
    </xf>
    <xf numFmtId="0" fontId="4" fillId="13" borderId="3" xfId="0" applyFont="1" applyFill="1" applyBorder="1" applyAlignment="1">
      <alignment vertical="top"/>
    </xf>
    <xf numFmtId="0" fontId="4" fillId="3" borderId="25" xfId="0" applyFont="1" applyFill="1" applyBorder="1" applyAlignment="1">
      <alignment vertical="top"/>
    </xf>
    <xf numFmtId="41" fontId="4" fillId="0" borderId="13" xfId="1" applyNumberFormat="1" applyFont="1" applyFill="1" applyBorder="1" applyAlignment="1">
      <alignment horizontal="center" vertical="top"/>
    </xf>
    <xf numFmtId="0" fontId="4" fillId="0" borderId="13" xfId="1" applyFont="1" applyFill="1" applyBorder="1" applyAlignment="1">
      <alignment horizontal="center" vertical="top"/>
    </xf>
    <xf numFmtId="0" fontId="4" fillId="3" borderId="26" xfId="0" applyFont="1" applyFill="1" applyBorder="1" applyAlignment="1" applyProtection="1">
      <alignment horizontal="center" vertical="top" wrapText="1"/>
    </xf>
    <xf numFmtId="0" fontId="4" fillId="3" borderId="27" xfId="0" applyFont="1" applyFill="1" applyBorder="1" applyAlignment="1" applyProtection="1">
      <alignment horizontal="center" vertical="top" wrapText="1"/>
    </xf>
    <xf numFmtId="1" fontId="4" fillId="0" borderId="13" xfId="0" applyNumberFormat="1" applyFont="1" applyFill="1" applyBorder="1" applyAlignment="1" applyProtection="1">
      <alignment horizontal="right" vertical="top"/>
    </xf>
    <xf numFmtId="2" fontId="27" fillId="3" borderId="13" xfId="0" applyNumberFormat="1" applyFont="1" applyFill="1" applyBorder="1" applyAlignment="1">
      <alignment horizontal="left" vertical="top" wrapText="1"/>
    </xf>
    <xf numFmtId="1" fontId="4" fillId="3" borderId="14" xfId="0" applyNumberFormat="1" applyFont="1" applyFill="1" applyBorder="1" applyAlignment="1" applyProtection="1">
      <alignment horizontal="center" vertical="top"/>
    </xf>
    <xf numFmtId="9" fontId="4" fillId="0" borderId="11" xfId="0" applyNumberFormat="1" applyFont="1" applyFill="1" applyBorder="1" applyAlignment="1">
      <alignment horizontal="center" vertical="top"/>
    </xf>
    <xf numFmtId="1" fontId="4" fillId="0" borderId="11" xfId="0" applyNumberFormat="1" applyFont="1" applyFill="1" applyBorder="1" applyAlignment="1" applyProtection="1">
      <alignment horizontal="center" vertical="top"/>
    </xf>
    <xf numFmtId="41" fontId="4" fillId="3" borderId="11" xfId="0" applyNumberFormat="1" applyFont="1" applyFill="1" applyBorder="1" applyAlignment="1">
      <alignment horizontal="center" vertical="top"/>
    </xf>
    <xf numFmtId="2" fontId="4" fillId="0" borderId="13" xfId="0" applyNumberFormat="1" applyFont="1" applyFill="1" applyBorder="1" applyAlignment="1">
      <alignment horizontal="center" vertical="top"/>
    </xf>
    <xf numFmtId="1" fontId="4" fillId="3" borderId="18" xfId="0" applyNumberFormat="1" applyFont="1" applyFill="1" applyBorder="1" applyAlignment="1" applyProtection="1">
      <alignment horizontal="center" vertical="top"/>
    </xf>
    <xf numFmtId="9" fontId="4" fillId="0" borderId="13" xfId="0" applyNumberFormat="1" applyFont="1" applyFill="1" applyBorder="1" applyAlignment="1">
      <alignment horizontal="center" vertical="top"/>
    </xf>
    <xf numFmtId="2" fontId="2" fillId="2" borderId="3" xfId="1" applyNumberFormat="1" applyFont="1" applyFill="1" applyBorder="1" applyAlignment="1">
      <alignment horizontal="right" vertical="top"/>
    </xf>
    <xf numFmtId="0" fontId="4" fillId="3" borderId="7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left" vertical="top"/>
    </xf>
    <xf numFmtId="2" fontId="5" fillId="3" borderId="4" xfId="1" applyNumberFormat="1" applyFont="1" applyFill="1" applyBorder="1" applyAlignment="1">
      <alignment vertical="top"/>
    </xf>
    <xf numFmtId="0" fontId="4" fillId="3" borderId="4" xfId="1" applyFont="1" applyFill="1" applyBorder="1" applyAlignment="1">
      <alignment vertical="top"/>
    </xf>
    <xf numFmtId="14" fontId="7" fillId="3" borderId="7" xfId="1" applyNumberFormat="1" applyFont="1" applyFill="1" applyBorder="1" applyAlignment="1">
      <alignment horizontal="left" vertical="top"/>
    </xf>
    <xf numFmtId="41" fontId="4" fillId="0" borderId="21" xfId="1" applyNumberFormat="1" applyFont="1" applyFill="1" applyBorder="1" applyAlignment="1">
      <alignment horizontal="center" vertical="top"/>
    </xf>
    <xf numFmtId="2" fontId="6" fillId="12" borderId="2" xfId="0" applyNumberFormat="1" applyFont="1" applyFill="1" applyBorder="1" applyAlignment="1">
      <alignment vertical="top" wrapText="1"/>
    </xf>
    <xf numFmtId="0" fontId="4" fillId="12" borderId="2" xfId="0" applyFont="1" applyFill="1" applyBorder="1" applyAlignment="1">
      <alignment vertical="top"/>
    </xf>
    <xf numFmtId="2" fontId="27" fillId="0" borderId="13" xfId="0" applyNumberFormat="1" applyFont="1" applyFill="1" applyBorder="1" applyAlignment="1">
      <alignment horizontal="left" vertical="top" wrapText="1"/>
    </xf>
    <xf numFmtId="1" fontId="4" fillId="0" borderId="18" xfId="0" applyNumberFormat="1" applyFont="1" applyFill="1" applyBorder="1" applyAlignment="1" applyProtection="1">
      <alignment horizontal="right" vertical="top"/>
    </xf>
    <xf numFmtId="1" fontId="4" fillId="3" borderId="28" xfId="0" applyNumberFormat="1" applyFont="1" applyFill="1" applyBorder="1" applyAlignment="1" applyProtection="1">
      <alignment horizontal="center" vertical="top"/>
    </xf>
    <xf numFmtId="2" fontId="6" fillId="12" borderId="17" xfId="0" applyNumberFormat="1" applyFont="1" applyFill="1" applyBorder="1" applyAlignment="1">
      <alignment horizontal="left" vertical="top" wrapText="1"/>
    </xf>
    <xf numFmtId="1" fontId="7" fillId="0" borderId="11" xfId="0" applyNumberFormat="1" applyFont="1" applyFill="1" applyBorder="1" applyAlignment="1" applyProtection="1">
      <alignment horizontal="center" vertical="top" wrapText="1"/>
    </xf>
    <xf numFmtId="164" fontId="4" fillId="3" borderId="13" xfId="2" applyNumberFormat="1" applyFont="1" applyFill="1" applyBorder="1" applyAlignment="1">
      <alignment horizontal="center" vertical="top"/>
    </xf>
    <xf numFmtId="164" fontId="4" fillId="3" borderId="14" xfId="1" applyNumberFormat="1" applyFont="1" applyFill="1" applyBorder="1" applyAlignment="1" applyProtection="1">
      <alignment horizontal="center" vertical="top"/>
    </xf>
    <xf numFmtId="2" fontId="4" fillId="3" borderId="13" xfId="0" applyNumberFormat="1" applyFont="1" applyFill="1" applyBorder="1" applyAlignment="1">
      <alignment horizontal="left" vertical="top" wrapText="1"/>
    </xf>
    <xf numFmtId="2" fontId="19" fillId="3" borderId="0" xfId="1" applyNumberFormat="1" applyFont="1" applyFill="1" applyBorder="1" applyAlignment="1">
      <alignment vertical="top"/>
    </xf>
    <xf numFmtId="2" fontId="19" fillId="3" borderId="8" xfId="1" applyNumberFormat="1" applyFont="1" applyFill="1" applyBorder="1" applyAlignment="1">
      <alignment vertical="top"/>
    </xf>
    <xf numFmtId="2" fontId="11" fillId="2" borderId="1" xfId="0" applyNumberFormat="1" applyFont="1" applyFill="1" applyBorder="1" applyAlignment="1">
      <alignment horizontal="left" vertical="top"/>
    </xf>
    <xf numFmtId="2" fontId="13" fillId="3" borderId="10" xfId="0" applyNumberFormat="1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left" vertical="top"/>
    </xf>
    <xf numFmtId="0" fontId="25" fillId="3" borderId="5" xfId="0" applyFont="1" applyFill="1" applyBorder="1" applyAlignment="1" applyProtection="1">
      <alignment horizontal="left" vertical="top"/>
    </xf>
    <xf numFmtId="0" fontId="25" fillId="3" borderId="12" xfId="0" applyFont="1" applyFill="1" applyBorder="1" applyAlignment="1" applyProtection="1">
      <alignment horizontal="left" vertical="top"/>
    </xf>
    <xf numFmtId="2" fontId="13" fillId="0" borderId="0" xfId="1" applyNumberFormat="1" applyFont="1" applyFill="1" applyBorder="1" applyAlignment="1">
      <alignment horizontal="left" vertical="top" wrapText="1"/>
    </xf>
    <xf numFmtId="166" fontId="13" fillId="3" borderId="0" xfId="1" applyNumberFormat="1" applyFont="1" applyFill="1" applyBorder="1" applyAlignment="1" applyProtection="1">
      <alignment horizontal="left" vertical="top"/>
    </xf>
  </cellXfs>
  <cellStyles count="7">
    <cellStyle name="Currency" xfId="5" builtinId="4"/>
    <cellStyle name="Currency 3" xfId="2"/>
    <cellStyle name="Hyperlink" xfId="3" builtinId="8"/>
    <cellStyle name="Normal" xfId="0" builtinId="0"/>
    <cellStyle name="Normal 2 3" xfId="1"/>
    <cellStyle name="Percent" xfId="6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-0.249977111117893"/>
    <pageSetUpPr fitToPage="1"/>
  </sheetPr>
  <dimension ref="A1:N24"/>
  <sheetViews>
    <sheetView showGridLines="0" view="pageBreakPreview" zoomScale="130" zoomScaleNormal="100" zoomScaleSheetLayoutView="130" workbookViewId="0">
      <selection activeCell="C8" sqref="C8"/>
    </sheetView>
  </sheetViews>
  <sheetFormatPr defaultRowHeight="15.75" x14ac:dyDescent="0.25"/>
  <cols>
    <col min="1" max="1" width="8.88671875" style="63"/>
    <col min="2" max="2" width="21.109375" style="63" customWidth="1"/>
    <col min="3" max="3" width="38.109375" style="63" customWidth="1"/>
    <col min="4" max="4" width="25.109375" style="63" customWidth="1"/>
    <col min="5" max="5" width="8.88671875" style="63"/>
    <col min="6" max="6" width="10.5546875" style="63" bestFit="1" customWidth="1"/>
    <col min="7" max="16384" width="8.88671875" style="63"/>
  </cols>
  <sheetData>
    <row r="1" spans="1:14" x14ac:dyDescent="0.25">
      <c r="A1" s="59"/>
      <c r="B1" s="60"/>
      <c r="C1" s="8"/>
      <c r="D1" s="61"/>
      <c r="E1" s="62"/>
    </row>
    <row r="2" spans="1:14" x14ac:dyDescent="0.25">
      <c r="A2" s="64"/>
      <c r="B2" s="65"/>
      <c r="C2" s="12"/>
      <c r="D2" s="66"/>
      <c r="E2" s="67"/>
    </row>
    <row r="3" spans="1:14" ht="18" customHeight="1" x14ac:dyDescent="0.25">
      <c r="A3" s="64"/>
      <c r="B3" s="65"/>
      <c r="C3" s="12"/>
      <c r="D3" s="216"/>
      <c r="E3" s="67"/>
      <c r="F3" s="150"/>
      <c r="G3" s="151"/>
    </row>
    <row r="4" spans="1:14" ht="20.25" thickBot="1" x14ac:dyDescent="0.3">
      <c r="A4" s="68"/>
      <c r="B4" s="69"/>
      <c r="C4" s="53"/>
      <c r="D4" s="217"/>
      <c r="E4" s="67"/>
      <c r="F4" s="109"/>
      <c r="G4" s="70"/>
      <c r="H4" s="70"/>
      <c r="I4" s="69"/>
      <c r="J4" s="69"/>
      <c r="K4" s="69"/>
      <c r="L4" s="69"/>
    </row>
    <row r="5" spans="1:14" x14ac:dyDescent="0.25">
      <c r="A5" s="68"/>
      <c r="B5" s="54" t="s">
        <v>0</v>
      </c>
      <c r="C5" s="55" t="s">
        <v>140</v>
      </c>
      <c r="D5" s="71"/>
      <c r="E5" s="72"/>
      <c r="F5" s="69"/>
      <c r="G5" s="69"/>
      <c r="H5" s="69"/>
      <c r="I5" s="69"/>
      <c r="J5" s="73"/>
      <c r="K5" s="73"/>
      <c r="L5" s="73"/>
      <c r="M5" s="73"/>
      <c r="N5" s="73"/>
    </row>
    <row r="6" spans="1:14" ht="16.5" thickBot="1" x14ac:dyDescent="0.3">
      <c r="A6" s="74"/>
      <c r="B6" s="56" t="s">
        <v>1</v>
      </c>
      <c r="C6" s="57" t="s">
        <v>140</v>
      </c>
      <c r="D6" s="75"/>
      <c r="E6" s="76"/>
      <c r="F6" s="69"/>
      <c r="G6" s="69"/>
      <c r="H6" s="69"/>
      <c r="I6" s="69"/>
      <c r="J6" s="73"/>
      <c r="K6" s="73"/>
      <c r="L6" s="73"/>
      <c r="M6" s="73"/>
      <c r="N6" s="73"/>
    </row>
    <row r="7" spans="1:14" ht="19.5" thickBot="1" x14ac:dyDescent="0.3">
      <c r="A7" s="74"/>
      <c r="B7" s="159" t="s">
        <v>21</v>
      </c>
      <c r="C7" s="157"/>
      <c r="D7" s="158"/>
      <c r="E7" s="72"/>
      <c r="F7" s="69"/>
      <c r="G7" s="69"/>
      <c r="H7" s="69"/>
      <c r="I7" s="69"/>
      <c r="J7" s="73"/>
      <c r="K7" s="73"/>
      <c r="L7" s="73"/>
      <c r="M7" s="73"/>
      <c r="N7" s="73"/>
    </row>
    <row r="8" spans="1:14" ht="18.75" x14ac:dyDescent="0.25">
      <c r="A8" s="74"/>
      <c r="B8" s="79"/>
      <c r="C8" s="160" t="s">
        <v>130</v>
      </c>
      <c r="D8" s="80">
        <f>'MASONRY ESTIMATE'!L$347</f>
        <v>0</v>
      </c>
      <c r="E8" s="72"/>
      <c r="F8" s="69"/>
      <c r="G8" s="69"/>
      <c r="H8" s="69"/>
      <c r="I8" s="69"/>
      <c r="J8" s="73"/>
      <c r="K8" s="73"/>
      <c r="L8" s="73"/>
      <c r="M8" s="73"/>
      <c r="N8" s="73"/>
    </row>
    <row r="9" spans="1:14" ht="18.75" x14ac:dyDescent="0.25">
      <c r="A9" s="74"/>
      <c r="B9" s="81"/>
      <c r="C9" s="161" t="s">
        <v>131</v>
      </c>
      <c r="D9" s="82">
        <f>'MASONRY ESTIMATE'!L$362</f>
        <v>0</v>
      </c>
      <c r="E9" s="72"/>
      <c r="F9" s="69"/>
      <c r="G9" s="69"/>
      <c r="H9" s="69"/>
      <c r="I9" s="69"/>
      <c r="J9" s="73"/>
      <c r="K9" s="73"/>
      <c r="L9" s="73"/>
      <c r="M9" s="73"/>
      <c r="N9" s="73"/>
    </row>
    <row r="10" spans="1:14" ht="19.5" thickBot="1" x14ac:dyDescent="0.3">
      <c r="A10" s="74"/>
      <c r="B10" s="102"/>
      <c r="C10" s="161"/>
      <c r="D10" s="82"/>
      <c r="E10" s="72"/>
      <c r="F10" s="69"/>
      <c r="G10" s="69"/>
      <c r="H10" s="69"/>
      <c r="I10" s="69"/>
      <c r="J10" s="73"/>
      <c r="K10" s="73"/>
      <c r="L10" s="73"/>
      <c r="M10" s="73"/>
      <c r="N10" s="73"/>
    </row>
    <row r="11" spans="1:14" x14ac:dyDescent="0.25">
      <c r="A11" s="74"/>
      <c r="B11" s="90" t="s">
        <v>23</v>
      </c>
      <c r="C11" s="91"/>
      <c r="D11" s="92">
        <f>SUM(D8:D10)</f>
        <v>0</v>
      </c>
      <c r="E11" s="76"/>
      <c r="F11" s="69"/>
      <c r="G11" s="69"/>
      <c r="H11" s="69"/>
      <c r="I11" s="69"/>
      <c r="J11" s="73"/>
      <c r="K11" s="73"/>
      <c r="L11" s="73"/>
      <c r="M11" s="73"/>
      <c r="N11" s="73"/>
    </row>
    <row r="12" spans="1:14" x14ac:dyDescent="0.25">
      <c r="A12" s="74"/>
      <c r="B12" s="122" t="s">
        <v>20</v>
      </c>
      <c r="C12" s="124">
        <v>0.2</v>
      </c>
      <c r="D12" s="123">
        <f>C12*D11</f>
        <v>0</v>
      </c>
      <c r="E12" s="76"/>
      <c r="F12" s="69"/>
      <c r="G12" s="69"/>
      <c r="H12" s="69"/>
      <c r="I12" s="69"/>
      <c r="J12" s="73"/>
      <c r="K12" s="73"/>
      <c r="L12" s="73"/>
      <c r="M12" s="73"/>
      <c r="N12" s="73"/>
    </row>
    <row r="13" spans="1:14" ht="16.5" thickBot="1" x14ac:dyDescent="0.3">
      <c r="A13" s="74"/>
      <c r="B13" s="58" t="s">
        <v>21</v>
      </c>
      <c r="C13" s="84"/>
      <c r="D13" s="85">
        <f>SUM(D11:D12)</f>
        <v>0</v>
      </c>
      <c r="E13" s="76"/>
      <c r="F13" s="100"/>
      <c r="G13" s="108"/>
      <c r="H13" s="83"/>
      <c r="I13" s="69"/>
      <c r="J13" s="73"/>
      <c r="K13" s="73"/>
      <c r="L13" s="73"/>
      <c r="M13" s="73"/>
      <c r="N13" s="73"/>
    </row>
    <row r="14" spans="1:14" ht="19.5" thickBot="1" x14ac:dyDescent="0.3">
      <c r="A14" s="74"/>
      <c r="B14" s="223"/>
      <c r="C14" s="161"/>
      <c r="D14" s="224"/>
      <c r="E14" s="72"/>
      <c r="F14" s="69"/>
      <c r="G14" s="69"/>
      <c r="H14" s="69"/>
      <c r="I14" s="69"/>
      <c r="J14" s="73"/>
      <c r="K14" s="73"/>
      <c r="L14" s="73"/>
      <c r="M14" s="73"/>
      <c r="N14" s="73"/>
    </row>
    <row r="15" spans="1:14" ht="19.5" thickBot="1" x14ac:dyDescent="0.3">
      <c r="A15" s="74"/>
      <c r="B15" s="159" t="s">
        <v>22</v>
      </c>
      <c r="C15" s="157"/>
      <c r="D15" s="158"/>
      <c r="E15" s="72"/>
      <c r="F15" s="69"/>
      <c r="G15" s="69"/>
      <c r="H15" s="69"/>
      <c r="I15" s="69"/>
      <c r="J15" s="73"/>
      <c r="K15" s="73"/>
      <c r="L15" s="73"/>
      <c r="M15" s="73"/>
      <c r="N15" s="73"/>
    </row>
    <row r="16" spans="1:14" ht="18.75" x14ac:dyDescent="0.25">
      <c r="A16" s="74"/>
      <c r="B16" s="79"/>
      <c r="C16" s="160" t="s">
        <v>130</v>
      </c>
      <c r="D16" s="80">
        <f>'MASONRY ESTIMATE'!L$395</f>
        <v>0</v>
      </c>
      <c r="E16" s="72"/>
      <c r="F16" s="69"/>
      <c r="G16" s="69"/>
      <c r="H16" s="69"/>
      <c r="I16" s="69"/>
      <c r="J16" s="73"/>
      <c r="K16" s="73"/>
      <c r="L16" s="73"/>
      <c r="M16" s="73"/>
      <c r="N16" s="73"/>
    </row>
    <row r="17" spans="1:14" ht="18.75" x14ac:dyDescent="0.25">
      <c r="A17" s="74"/>
      <c r="B17" s="81"/>
      <c r="C17" s="161" t="s">
        <v>131</v>
      </c>
      <c r="D17" s="82">
        <f>'MASONRY ESTIMATE'!L$410</f>
        <v>0</v>
      </c>
      <c r="E17" s="72"/>
      <c r="F17" s="69"/>
      <c r="G17" s="69"/>
      <c r="H17" s="69"/>
      <c r="I17" s="69"/>
      <c r="J17" s="73"/>
      <c r="K17" s="73"/>
      <c r="L17" s="73"/>
      <c r="M17" s="73"/>
      <c r="N17" s="73"/>
    </row>
    <row r="18" spans="1:14" ht="19.5" thickBot="1" x14ac:dyDescent="0.3">
      <c r="A18" s="74"/>
      <c r="B18" s="81"/>
      <c r="C18" s="161"/>
      <c r="D18" s="82"/>
      <c r="E18" s="72"/>
      <c r="F18" s="69"/>
      <c r="G18" s="69"/>
      <c r="H18" s="69"/>
      <c r="I18" s="69"/>
      <c r="J18" s="73"/>
      <c r="K18" s="73"/>
      <c r="L18" s="73"/>
      <c r="M18" s="73"/>
      <c r="N18" s="73"/>
    </row>
    <row r="19" spans="1:14" x14ac:dyDescent="0.25">
      <c r="A19" s="74"/>
      <c r="B19" s="90" t="s">
        <v>23</v>
      </c>
      <c r="C19" s="91"/>
      <c r="D19" s="92">
        <f>SUM(D16:D18)</f>
        <v>0</v>
      </c>
      <c r="E19" s="76"/>
      <c r="F19" s="69"/>
      <c r="G19" s="69"/>
      <c r="H19" s="69"/>
      <c r="I19" s="69"/>
      <c r="J19" s="73"/>
      <c r="K19" s="73"/>
      <c r="L19" s="73"/>
      <c r="M19" s="73"/>
      <c r="N19" s="73"/>
    </row>
    <row r="20" spans="1:14" x14ac:dyDescent="0.25">
      <c r="A20" s="74"/>
      <c r="B20" s="122" t="s">
        <v>20</v>
      </c>
      <c r="C20" s="124">
        <v>0.2</v>
      </c>
      <c r="D20" s="123">
        <f>C20*D19</f>
        <v>0</v>
      </c>
      <c r="E20" s="76"/>
      <c r="F20" s="69"/>
      <c r="G20" s="69"/>
      <c r="H20" s="69"/>
      <c r="I20" s="69"/>
      <c r="J20" s="73"/>
      <c r="K20" s="73"/>
      <c r="L20" s="73"/>
      <c r="M20" s="73"/>
      <c r="N20" s="73"/>
    </row>
    <row r="21" spans="1:14" ht="16.5" thickBot="1" x14ac:dyDescent="0.3">
      <c r="A21" s="74"/>
      <c r="B21" s="58" t="s">
        <v>22</v>
      </c>
      <c r="C21" s="84"/>
      <c r="D21" s="85">
        <f>SUM(D19:D20)</f>
        <v>0</v>
      </c>
      <c r="E21" s="76"/>
      <c r="F21" s="100"/>
      <c r="G21" s="108"/>
      <c r="H21" s="83"/>
      <c r="I21" s="69"/>
      <c r="J21" s="73"/>
      <c r="K21" s="73"/>
      <c r="L21" s="73"/>
      <c r="M21" s="73"/>
      <c r="N21" s="73"/>
    </row>
    <row r="22" spans="1:14" ht="16.5" thickBot="1" x14ac:dyDescent="0.3">
      <c r="A22" s="64"/>
      <c r="B22" s="110"/>
      <c r="C22" s="65"/>
      <c r="D22" s="162" t="s">
        <v>19</v>
      </c>
      <c r="E22" s="78"/>
    </row>
    <row r="23" spans="1:14" x14ac:dyDescent="0.25">
      <c r="A23" s="105"/>
      <c r="B23" s="77"/>
      <c r="C23" s="65"/>
      <c r="D23" s="65"/>
      <c r="E23" s="78"/>
    </row>
    <row r="24" spans="1:14" ht="16.5" thickBot="1" x14ac:dyDescent="0.3">
      <c r="A24" s="111"/>
      <c r="B24" s="86"/>
      <c r="C24" s="87"/>
      <c r="D24" s="88"/>
      <c r="E24" s="89"/>
    </row>
  </sheetData>
  <printOptions horizontalCentered="1" verticalCentered="1"/>
  <pageMargins left="1" right="1" top="1" bottom="1" header="0.5" footer="0.5"/>
  <pageSetup paperSize="9" orientation="landscape" r:id="rId1"/>
  <headerFooter>
    <oddFooter xml:space="preserve">&amp;C&amp;P of 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L416"/>
  <sheetViews>
    <sheetView showGridLines="0" tabSelected="1" view="pageBreakPreview" zoomScaleNormal="90" zoomScaleSheetLayoutView="100" workbookViewId="0">
      <pane ySplit="7" topLeftCell="A8" activePane="bottomLeft" state="frozen"/>
      <selection pane="bottomLeft" activeCell="E2" sqref="E2"/>
    </sheetView>
  </sheetViews>
  <sheetFormatPr defaultColWidth="9.6640625" defaultRowHeight="15.75" x14ac:dyDescent="0.2"/>
  <cols>
    <col min="1" max="1" width="5.6640625" style="46" customWidth="1"/>
    <col min="2" max="2" width="11.77734375" style="47" customWidth="1"/>
    <col min="3" max="3" width="14.109375" style="47" customWidth="1"/>
    <col min="4" max="4" width="6.88671875" style="47" customWidth="1"/>
    <col min="5" max="5" width="50.109375" style="48" customWidth="1"/>
    <col min="6" max="6" width="8.44140625" style="49" customWidth="1"/>
    <col min="7" max="7" width="8.109375" style="50" customWidth="1"/>
    <col min="8" max="8" width="7.88671875" style="50" customWidth="1"/>
    <col min="9" max="9" width="7.109375" style="47" customWidth="1"/>
    <col min="10" max="10" width="9.33203125" style="51" customWidth="1"/>
    <col min="11" max="11" width="11.44140625" style="52" customWidth="1"/>
    <col min="12" max="12" width="11.6640625" style="9" customWidth="1"/>
    <col min="13" max="16384" width="9.6640625" style="45"/>
  </cols>
  <sheetData>
    <row r="1" spans="1:12" s="6" customFormat="1" ht="16.5" thickBot="1" x14ac:dyDescent="0.25">
      <c r="A1" s="218" t="s">
        <v>0</v>
      </c>
      <c r="B1" s="152"/>
      <c r="C1" s="1" t="s">
        <v>140</v>
      </c>
      <c r="D1" s="1"/>
      <c r="E1" s="2"/>
      <c r="F1" s="3"/>
      <c r="G1" s="3"/>
      <c r="H1" s="3"/>
      <c r="I1" s="3"/>
      <c r="J1" s="4"/>
      <c r="K1" s="3"/>
      <c r="L1" s="199"/>
    </row>
    <row r="2" spans="1:12" s="5" customFormat="1" x14ac:dyDescent="0.2">
      <c r="A2" s="219" t="s">
        <v>1</v>
      </c>
      <c r="B2" s="200"/>
      <c r="C2" s="201" t="s">
        <v>140</v>
      </c>
      <c r="D2" s="201"/>
      <c r="E2" s="202"/>
      <c r="F2" s="203"/>
      <c r="G2" s="202"/>
      <c r="H2" s="202"/>
      <c r="I2" s="202"/>
      <c r="J2" s="6"/>
      <c r="K2" s="8"/>
      <c r="L2" s="204"/>
    </row>
    <row r="3" spans="1:12" s="5" customFormat="1" ht="18.75" x14ac:dyDescent="0.2">
      <c r="A3" s="220" t="s">
        <v>2</v>
      </c>
      <c r="B3" s="7"/>
      <c r="C3" s="10">
        <v>44948</v>
      </c>
      <c r="D3" s="10"/>
      <c r="E3" s="106"/>
      <c r="F3" s="101"/>
      <c r="G3" s="11"/>
      <c r="H3" s="11"/>
      <c r="K3" s="12"/>
      <c r="L3" s="163"/>
    </row>
    <row r="4" spans="1:12" s="5" customFormat="1" x14ac:dyDescent="0.2">
      <c r="A4" s="220" t="s">
        <v>3</v>
      </c>
      <c r="B4" s="7"/>
      <c r="C4" s="10">
        <v>44853</v>
      </c>
      <c r="D4" s="10"/>
      <c r="E4" s="103"/>
      <c r="F4" s="103"/>
      <c r="G4" s="11"/>
      <c r="H4" s="11"/>
      <c r="J4" s="12"/>
      <c r="K4" s="53"/>
      <c r="L4" s="164"/>
    </row>
    <row r="5" spans="1:12" s="5" customFormat="1" ht="18.75" x14ac:dyDescent="0.2">
      <c r="A5" s="221" t="s">
        <v>21</v>
      </c>
      <c r="B5" s="149"/>
      <c r="C5" s="146">
        <f>L$367</f>
        <v>0</v>
      </c>
      <c r="D5" s="147"/>
      <c r="E5" s="148"/>
      <c r="F5" s="9"/>
      <c r="G5" s="9"/>
      <c r="H5" s="9"/>
      <c r="I5" s="9"/>
      <c r="J5" s="9"/>
      <c r="K5" s="53"/>
      <c r="L5" s="164"/>
    </row>
    <row r="6" spans="1:12" s="5" customFormat="1" ht="19.5" thickBot="1" x14ac:dyDescent="0.25">
      <c r="A6" s="222" t="s">
        <v>22</v>
      </c>
      <c r="B6" s="107"/>
      <c r="C6" s="165">
        <f>L$414</f>
        <v>0</v>
      </c>
      <c r="D6" s="166"/>
      <c r="E6" s="167"/>
      <c r="F6" s="168"/>
      <c r="G6" s="168"/>
      <c r="H6" s="168"/>
      <c r="I6" s="168"/>
      <c r="J6" s="168"/>
      <c r="K6" s="169"/>
      <c r="L6" s="170"/>
    </row>
    <row r="7" spans="1:12" s="13" customFormat="1" ht="37.5" customHeight="1" thickBot="1" x14ac:dyDescent="0.25">
      <c r="A7" s="153" t="s">
        <v>4</v>
      </c>
      <c r="B7" s="154" t="s">
        <v>5</v>
      </c>
      <c r="C7" s="154" t="s">
        <v>6</v>
      </c>
      <c r="D7" s="154" t="s">
        <v>7</v>
      </c>
      <c r="E7" s="154" t="s">
        <v>8</v>
      </c>
      <c r="F7" s="154" t="s">
        <v>9</v>
      </c>
      <c r="G7" s="154" t="s">
        <v>10</v>
      </c>
      <c r="H7" s="154" t="s">
        <v>11</v>
      </c>
      <c r="I7" s="154" t="s">
        <v>12</v>
      </c>
      <c r="J7" s="154" t="s">
        <v>13</v>
      </c>
      <c r="K7" s="155" t="s">
        <v>14</v>
      </c>
      <c r="L7" s="156" t="s">
        <v>15</v>
      </c>
    </row>
    <row r="8" spans="1:12" s="13" customFormat="1" ht="21.75" thickBot="1" x14ac:dyDescent="0.25">
      <c r="A8" s="144"/>
      <c r="B8" s="134"/>
      <c r="C8" s="134"/>
      <c r="D8" s="134"/>
      <c r="E8" s="134" t="s">
        <v>21</v>
      </c>
      <c r="F8" s="134"/>
      <c r="G8" s="134"/>
      <c r="H8" s="134"/>
      <c r="I8" s="134"/>
      <c r="J8" s="134"/>
      <c r="K8" s="135"/>
      <c r="L8" s="145"/>
    </row>
    <row r="9" spans="1:12" s="14" customFormat="1" ht="16.5" thickBot="1" x14ac:dyDescent="0.25">
      <c r="A9" s="133" t="str">
        <f>IF(F9&lt;&gt;"",1+MAX($A$7:A367),"")</f>
        <v/>
      </c>
      <c r="B9" s="136"/>
      <c r="C9" s="137"/>
      <c r="D9" s="138"/>
      <c r="E9" s="139" t="s">
        <v>28</v>
      </c>
      <c r="F9" s="140"/>
      <c r="G9" s="141"/>
      <c r="H9" s="141"/>
      <c r="I9" s="141"/>
      <c r="J9" s="142"/>
      <c r="K9" s="143"/>
      <c r="L9" s="93"/>
    </row>
    <row r="10" spans="1:12" s="5" customFormat="1" ht="16.5" thickBot="1" x14ac:dyDescent="0.25">
      <c r="A10" s="133" t="str">
        <f>IF(F10&lt;&gt;"",1+MAX($A$7:A368),"")</f>
        <v/>
      </c>
      <c r="B10" s="171"/>
      <c r="C10" s="172"/>
      <c r="D10" s="173"/>
      <c r="E10" s="173" t="s">
        <v>29</v>
      </c>
      <c r="F10" s="174"/>
      <c r="G10" s="175"/>
      <c r="H10" s="176"/>
      <c r="I10" s="177"/>
      <c r="J10" s="178"/>
      <c r="K10" s="179"/>
      <c r="L10" s="93"/>
    </row>
    <row r="11" spans="1:12" s="5" customFormat="1" ht="16.5" thickBot="1" x14ac:dyDescent="0.25">
      <c r="A11" s="133" t="str">
        <f>IF(F11&lt;&gt;"",1+MAX($A$7:A369),"")</f>
        <v/>
      </c>
      <c r="B11" s="180"/>
      <c r="C11" s="181"/>
      <c r="D11" s="182"/>
      <c r="E11" s="183" t="s">
        <v>25</v>
      </c>
      <c r="F11" s="184"/>
      <c r="G11" s="185"/>
      <c r="H11" s="186"/>
      <c r="I11" s="187"/>
      <c r="J11" s="213"/>
      <c r="K11" s="179"/>
      <c r="L11" s="93"/>
    </row>
    <row r="12" spans="1:12" s="5" customFormat="1" ht="16.5" thickBot="1" x14ac:dyDescent="0.25">
      <c r="A12" s="133" t="str">
        <f>IF(F12&lt;&gt;"",1+MAX($A$7:A370),"")</f>
        <v/>
      </c>
      <c r="B12" s="188"/>
      <c r="C12" s="189"/>
      <c r="D12" s="209"/>
      <c r="E12" s="211" t="s">
        <v>78</v>
      </c>
      <c r="F12" s="210"/>
      <c r="G12" s="193"/>
      <c r="H12" s="29"/>
      <c r="I12" s="30"/>
      <c r="J12" s="19"/>
      <c r="K12" s="94"/>
      <c r="L12" s="93"/>
    </row>
    <row r="13" spans="1:12" s="5" customFormat="1" x14ac:dyDescent="0.2">
      <c r="A13" s="133" t="str">
        <f>IF(F13&lt;&gt;"",1+MAX($A$7:A371),"")</f>
        <v/>
      </c>
      <c r="B13" s="15"/>
      <c r="C13" s="15"/>
      <c r="D13" s="194"/>
      <c r="E13" s="208" t="s">
        <v>82</v>
      </c>
      <c r="F13" s="16"/>
      <c r="G13" s="17"/>
      <c r="H13" s="195"/>
      <c r="I13" s="18"/>
      <c r="J13" s="19"/>
      <c r="K13" s="94"/>
      <c r="L13" s="93"/>
    </row>
    <row r="14" spans="1:12" s="5" customFormat="1" ht="47.25" x14ac:dyDescent="0.2">
      <c r="A14" s="133">
        <f>IF(F14&lt;&gt;"",1+MAX(A1:A13),"")</f>
        <v>1</v>
      </c>
      <c r="B14" s="15" t="s">
        <v>60</v>
      </c>
      <c r="C14" s="15" t="s">
        <v>31</v>
      </c>
      <c r="D14" s="194"/>
      <c r="E14" s="31" t="s">
        <v>76</v>
      </c>
      <c r="F14" s="16">
        <f>27.7*16.167</f>
        <v>447.82590000000005</v>
      </c>
      <c r="G14" s="17">
        <v>0.1</v>
      </c>
      <c r="H14" s="195">
        <f t="shared" ref="H14:H117" si="0">F14*(1+G14)</f>
        <v>492.60849000000007</v>
      </c>
      <c r="I14" s="18" t="s">
        <v>16</v>
      </c>
      <c r="J14" s="104">
        <v>0</v>
      </c>
      <c r="K14" s="94">
        <f t="shared" ref="K14:K117" si="1">J14*H14</f>
        <v>0</v>
      </c>
      <c r="L14" s="93"/>
    </row>
    <row r="15" spans="1:12" s="5" customFormat="1" x14ac:dyDescent="0.2">
      <c r="A15" s="133" t="str">
        <f t="shared" ref="A15:A78" si="2">IF(F15&lt;&gt;"",1+MAX(A2:A14),"")</f>
        <v/>
      </c>
      <c r="B15" s="15"/>
      <c r="C15" s="15"/>
      <c r="D15" s="194"/>
      <c r="E15" s="208" t="s">
        <v>81</v>
      </c>
      <c r="F15" s="16"/>
      <c r="G15" s="17"/>
      <c r="H15" s="195"/>
      <c r="I15" s="18"/>
      <c r="J15" s="19"/>
      <c r="K15" s="94"/>
      <c r="L15" s="93"/>
    </row>
    <row r="16" spans="1:12" s="5" customFormat="1" ht="31.5" x14ac:dyDescent="0.2">
      <c r="A16" s="133">
        <f t="shared" si="2"/>
        <v>2</v>
      </c>
      <c r="B16" s="15" t="s">
        <v>60</v>
      </c>
      <c r="C16" s="15"/>
      <c r="D16" s="194"/>
      <c r="E16" s="31" t="s">
        <v>77</v>
      </c>
      <c r="F16" s="16">
        <f>27.7*2</f>
        <v>55.4</v>
      </c>
      <c r="G16" s="17">
        <v>0.1</v>
      </c>
      <c r="H16" s="195">
        <f t="shared" si="0"/>
        <v>60.940000000000005</v>
      </c>
      <c r="I16" s="18" t="s">
        <v>24</v>
      </c>
      <c r="J16" s="104">
        <v>0</v>
      </c>
      <c r="K16" s="94">
        <f t="shared" si="1"/>
        <v>0</v>
      </c>
      <c r="L16" s="93"/>
    </row>
    <row r="17" spans="1:12" s="5" customFormat="1" x14ac:dyDescent="0.2">
      <c r="A17" s="133" t="str">
        <f t="shared" si="2"/>
        <v/>
      </c>
      <c r="B17" s="15"/>
      <c r="C17" s="15"/>
      <c r="D17" s="194"/>
      <c r="E17" s="208" t="s">
        <v>83</v>
      </c>
      <c r="F17" s="16"/>
      <c r="G17" s="17"/>
      <c r="H17" s="195"/>
      <c r="I17" s="18"/>
      <c r="J17" s="19"/>
      <c r="K17" s="94"/>
      <c r="L17" s="93"/>
    </row>
    <row r="18" spans="1:12" s="5" customFormat="1" ht="31.5" x14ac:dyDescent="0.2">
      <c r="A18" s="133">
        <f t="shared" si="2"/>
        <v>3</v>
      </c>
      <c r="B18" s="15" t="s">
        <v>60</v>
      </c>
      <c r="C18" s="15"/>
      <c r="D18" s="212" t="s">
        <v>84</v>
      </c>
      <c r="E18" s="31" t="s">
        <v>30</v>
      </c>
      <c r="F18" s="16">
        <f>(27.7/4+1)*2*0.5</f>
        <v>7.9249999999999998</v>
      </c>
      <c r="G18" s="17">
        <v>0.1</v>
      </c>
      <c r="H18" s="195">
        <f t="shared" ref="H18" si="3">F18*(1+G18)</f>
        <v>8.7175000000000011</v>
      </c>
      <c r="I18" s="18" t="s">
        <v>24</v>
      </c>
      <c r="J18" s="104">
        <v>0</v>
      </c>
      <c r="K18" s="94">
        <f t="shared" ref="K18" si="4">J18*H18</f>
        <v>0</v>
      </c>
      <c r="L18" s="93"/>
    </row>
    <row r="19" spans="1:12" s="5" customFormat="1" x14ac:dyDescent="0.2">
      <c r="A19" s="133" t="str">
        <f t="shared" si="2"/>
        <v/>
      </c>
      <c r="B19" s="15"/>
      <c r="C19" s="15"/>
      <c r="D19" s="194"/>
      <c r="E19" s="208" t="s">
        <v>85</v>
      </c>
      <c r="F19" s="16"/>
      <c r="G19" s="17"/>
      <c r="H19" s="195"/>
      <c r="I19" s="18"/>
      <c r="J19" s="19"/>
      <c r="K19" s="94"/>
      <c r="L19" s="93"/>
    </row>
    <row r="20" spans="1:12" s="5" customFormat="1" x14ac:dyDescent="0.2">
      <c r="A20" s="133">
        <f t="shared" si="2"/>
        <v>4</v>
      </c>
      <c r="B20" s="15" t="s">
        <v>60</v>
      </c>
      <c r="C20" s="15"/>
      <c r="D20" s="35"/>
      <c r="E20" s="31" t="s">
        <v>80</v>
      </c>
      <c r="F20" s="16">
        <v>27.7</v>
      </c>
      <c r="G20" s="17">
        <v>0.1</v>
      </c>
      <c r="H20" s="195">
        <f t="shared" ref="H20" si="5">F20*(1+G20)</f>
        <v>30.470000000000002</v>
      </c>
      <c r="I20" s="18" t="s">
        <v>24</v>
      </c>
      <c r="J20" s="104">
        <v>0</v>
      </c>
      <c r="K20" s="94">
        <f t="shared" ref="K20" si="6">J20*H20</f>
        <v>0</v>
      </c>
      <c r="L20" s="93"/>
    </row>
    <row r="21" spans="1:12" s="5" customFormat="1" x14ac:dyDescent="0.2">
      <c r="A21" s="133" t="str">
        <f t="shared" si="2"/>
        <v/>
      </c>
      <c r="B21" s="15"/>
      <c r="C21" s="15"/>
      <c r="D21" s="194"/>
      <c r="E21" s="208" t="s">
        <v>86</v>
      </c>
      <c r="F21" s="16"/>
      <c r="G21" s="17"/>
      <c r="H21" s="195"/>
      <c r="I21" s="18"/>
      <c r="J21" s="19"/>
      <c r="K21" s="94"/>
      <c r="L21" s="93"/>
    </row>
    <row r="22" spans="1:12" s="5" customFormat="1" ht="16.5" thickBot="1" x14ac:dyDescent="0.25">
      <c r="A22" s="133">
        <f t="shared" si="2"/>
        <v>5</v>
      </c>
      <c r="B22" s="15" t="s">
        <v>60</v>
      </c>
      <c r="C22" s="15"/>
      <c r="D22" s="194"/>
      <c r="E22" s="31" t="s">
        <v>74</v>
      </c>
      <c r="F22" s="16">
        <v>448</v>
      </c>
      <c r="G22" s="17">
        <v>0.1</v>
      </c>
      <c r="H22" s="195">
        <f>F22*(1+G22)</f>
        <v>492.80000000000007</v>
      </c>
      <c r="I22" s="18" t="s">
        <v>16</v>
      </c>
      <c r="J22" s="104">
        <v>0</v>
      </c>
      <c r="K22" s="94">
        <f>J22*H22</f>
        <v>0</v>
      </c>
      <c r="L22" s="93"/>
    </row>
    <row r="23" spans="1:12" s="5" customFormat="1" ht="16.5" thickBot="1" x14ac:dyDescent="0.25">
      <c r="A23" s="133" t="str">
        <f t="shared" si="2"/>
        <v/>
      </c>
      <c r="B23" s="188"/>
      <c r="C23" s="189"/>
      <c r="D23" s="190"/>
      <c r="E23" s="211" t="s">
        <v>79</v>
      </c>
      <c r="F23" s="192"/>
      <c r="G23" s="193"/>
      <c r="H23" s="29"/>
      <c r="I23" s="30"/>
      <c r="J23" s="19"/>
      <c r="K23" s="94"/>
      <c r="L23" s="93"/>
    </row>
    <row r="24" spans="1:12" s="5" customFormat="1" x14ac:dyDescent="0.2">
      <c r="A24" s="133" t="str">
        <f t="shared" si="2"/>
        <v/>
      </c>
      <c r="B24" s="15"/>
      <c r="C24" s="15"/>
      <c r="D24" s="194"/>
      <c r="E24" s="208" t="s">
        <v>82</v>
      </c>
      <c r="F24" s="16"/>
      <c r="G24" s="17"/>
      <c r="H24" s="195"/>
      <c r="I24" s="18"/>
      <c r="J24" s="19"/>
      <c r="K24" s="94"/>
      <c r="L24" s="93"/>
    </row>
    <row r="25" spans="1:12" s="5" customFormat="1" ht="47.25" x14ac:dyDescent="0.2">
      <c r="A25" s="133">
        <f t="shared" si="2"/>
        <v>6</v>
      </c>
      <c r="B25" s="15" t="s">
        <v>60</v>
      </c>
      <c r="C25" s="15" t="s">
        <v>32</v>
      </c>
      <c r="D25" s="194"/>
      <c r="E25" s="31" t="s">
        <v>121</v>
      </c>
      <c r="F25" s="16">
        <f>27.3*16.167</f>
        <v>441.35910000000007</v>
      </c>
      <c r="G25" s="17">
        <v>0.1</v>
      </c>
      <c r="H25" s="195">
        <f t="shared" si="0"/>
        <v>485.49501000000009</v>
      </c>
      <c r="I25" s="18" t="s">
        <v>16</v>
      </c>
      <c r="J25" s="104">
        <v>0</v>
      </c>
      <c r="K25" s="94">
        <f t="shared" si="1"/>
        <v>0</v>
      </c>
      <c r="L25" s="93"/>
    </row>
    <row r="26" spans="1:12" s="5" customFormat="1" x14ac:dyDescent="0.2">
      <c r="A26" s="133" t="str">
        <f t="shared" si="2"/>
        <v/>
      </c>
      <c r="B26" s="15"/>
      <c r="C26" s="15"/>
      <c r="D26" s="194"/>
      <c r="E26" s="208" t="s">
        <v>81</v>
      </c>
      <c r="F26" s="16"/>
      <c r="G26" s="17"/>
      <c r="H26" s="195"/>
      <c r="I26" s="18"/>
      <c r="J26" s="19"/>
      <c r="K26" s="94"/>
      <c r="L26" s="93"/>
    </row>
    <row r="27" spans="1:12" s="5" customFormat="1" ht="31.5" x14ac:dyDescent="0.2">
      <c r="A27" s="133">
        <f t="shared" si="2"/>
        <v>7</v>
      </c>
      <c r="B27" s="15" t="s">
        <v>60</v>
      </c>
      <c r="C27" s="15"/>
      <c r="D27" s="194"/>
      <c r="E27" s="31" t="s">
        <v>77</v>
      </c>
      <c r="F27" s="16">
        <f>27.3*2</f>
        <v>54.6</v>
      </c>
      <c r="G27" s="17">
        <v>0.1</v>
      </c>
      <c r="H27" s="195">
        <f t="shared" si="0"/>
        <v>60.060000000000009</v>
      </c>
      <c r="I27" s="18" t="s">
        <v>24</v>
      </c>
      <c r="J27" s="19">
        <f>J$16</f>
        <v>0</v>
      </c>
      <c r="K27" s="94">
        <f t="shared" si="1"/>
        <v>0</v>
      </c>
      <c r="L27" s="93"/>
    </row>
    <row r="28" spans="1:12" s="5" customFormat="1" x14ac:dyDescent="0.2">
      <c r="A28" s="133" t="str">
        <f t="shared" si="2"/>
        <v/>
      </c>
      <c r="B28" s="15"/>
      <c r="C28" s="15"/>
      <c r="D28" s="194"/>
      <c r="E28" s="208" t="s">
        <v>83</v>
      </c>
      <c r="F28" s="16"/>
      <c r="G28" s="17"/>
      <c r="H28" s="195"/>
      <c r="I28" s="18"/>
      <c r="J28" s="19"/>
      <c r="K28" s="94"/>
      <c r="L28" s="93"/>
    </row>
    <row r="29" spans="1:12" s="5" customFormat="1" ht="31.5" x14ac:dyDescent="0.2">
      <c r="A29" s="133">
        <f t="shared" si="2"/>
        <v>8</v>
      </c>
      <c r="B29" s="15" t="s">
        <v>60</v>
      </c>
      <c r="C29" s="15"/>
      <c r="D29" s="212" t="s">
        <v>84</v>
      </c>
      <c r="E29" s="31" t="s">
        <v>30</v>
      </c>
      <c r="F29" s="16">
        <f>(27.3/4+1)*2*0.5</f>
        <v>7.8250000000000002</v>
      </c>
      <c r="G29" s="17">
        <v>0.1</v>
      </c>
      <c r="H29" s="195">
        <f t="shared" ref="H29" si="7">F29*(1+G29)</f>
        <v>8.6075000000000017</v>
      </c>
      <c r="I29" s="18" t="s">
        <v>24</v>
      </c>
      <c r="J29" s="19">
        <f>J$18</f>
        <v>0</v>
      </c>
      <c r="K29" s="94">
        <f t="shared" ref="K29" si="8">J29*H29</f>
        <v>0</v>
      </c>
      <c r="L29" s="93"/>
    </row>
    <row r="30" spans="1:12" s="5" customFormat="1" x14ac:dyDescent="0.2">
      <c r="A30" s="133" t="str">
        <f t="shared" si="2"/>
        <v/>
      </c>
      <c r="B30" s="15"/>
      <c r="C30" s="15"/>
      <c r="D30" s="194"/>
      <c r="E30" s="208" t="s">
        <v>85</v>
      </c>
      <c r="F30" s="16"/>
      <c r="G30" s="17"/>
      <c r="H30" s="195"/>
      <c r="I30" s="18"/>
      <c r="J30" s="19"/>
      <c r="K30" s="94"/>
      <c r="L30" s="93"/>
    </row>
    <row r="31" spans="1:12" s="5" customFormat="1" x14ac:dyDescent="0.2">
      <c r="A31" s="133">
        <f t="shared" si="2"/>
        <v>9</v>
      </c>
      <c r="B31" s="15" t="s">
        <v>60</v>
      </c>
      <c r="C31" s="15"/>
      <c r="D31" s="35"/>
      <c r="E31" s="31" t="s">
        <v>80</v>
      </c>
      <c r="F31" s="16">
        <f>27.3</f>
        <v>27.3</v>
      </c>
      <c r="G31" s="17">
        <v>0.1</v>
      </c>
      <c r="H31" s="195">
        <f t="shared" ref="H31" si="9">F31*(1+G31)</f>
        <v>30.030000000000005</v>
      </c>
      <c r="I31" s="18" t="s">
        <v>24</v>
      </c>
      <c r="J31" s="19">
        <f>J$20</f>
        <v>0</v>
      </c>
      <c r="K31" s="94">
        <f t="shared" ref="K31" si="10">J31*H31</f>
        <v>0</v>
      </c>
      <c r="L31" s="93"/>
    </row>
    <row r="32" spans="1:12" s="5" customFormat="1" x14ac:dyDescent="0.2">
      <c r="A32" s="133" t="str">
        <f t="shared" si="2"/>
        <v/>
      </c>
      <c r="B32" s="15"/>
      <c r="C32" s="15"/>
      <c r="D32" s="194"/>
      <c r="E32" s="208" t="s">
        <v>86</v>
      </c>
      <c r="F32" s="16"/>
      <c r="G32" s="17"/>
      <c r="H32" s="195"/>
      <c r="I32" s="18"/>
      <c r="J32" s="19"/>
      <c r="K32" s="94"/>
      <c r="L32" s="93"/>
    </row>
    <row r="33" spans="1:12" s="5" customFormat="1" ht="16.5" thickBot="1" x14ac:dyDescent="0.25">
      <c r="A33" s="133">
        <f t="shared" si="2"/>
        <v>10</v>
      </c>
      <c r="B33" s="15" t="s">
        <v>60</v>
      </c>
      <c r="C33" s="15"/>
      <c r="D33" s="194"/>
      <c r="E33" s="31" t="s">
        <v>74</v>
      </c>
      <c r="F33" s="16">
        <v>441</v>
      </c>
      <c r="G33" s="17">
        <v>0.1</v>
      </c>
      <c r="H33" s="195">
        <f>F33*(1+G33)</f>
        <v>485.1</v>
      </c>
      <c r="I33" s="18" t="s">
        <v>16</v>
      </c>
      <c r="J33" s="19">
        <f>J$22</f>
        <v>0</v>
      </c>
      <c r="K33" s="94">
        <f>J33*H33</f>
        <v>0</v>
      </c>
      <c r="L33" s="93"/>
    </row>
    <row r="34" spans="1:12" s="5" customFormat="1" ht="16.5" thickBot="1" x14ac:dyDescent="0.25">
      <c r="A34" s="133" t="str">
        <f t="shared" si="2"/>
        <v/>
      </c>
      <c r="B34" s="188"/>
      <c r="C34" s="189"/>
      <c r="D34" s="190"/>
      <c r="E34" s="211" t="s">
        <v>94</v>
      </c>
      <c r="F34" s="192"/>
      <c r="G34" s="193"/>
      <c r="H34" s="29"/>
      <c r="I34" s="30"/>
      <c r="J34" s="19"/>
      <c r="K34" s="94"/>
      <c r="L34" s="93"/>
    </row>
    <row r="35" spans="1:12" s="5" customFormat="1" x14ac:dyDescent="0.2">
      <c r="A35" s="133" t="str">
        <f t="shared" si="2"/>
        <v/>
      </c>
      <c r="B35" s="15"/>
      <c r="C35" s="15"/>
      <c r="D35" s="194"/>
      <c r="E35" s="208" t="s">
        <v>82</v>
      </c>
      <c r="F35" s="16"/>
      <c r="G35" s="17"/>
      <c r="H35" s="195"/>
      <c r="I35" s="18"/>
      <c r="J35" s="19"/>
      <c r="K35" s="94"/>
      <c r="L35" s="93"/>
    </row>
    <row r="36" spans="1:12" s="5" customFormat="1" ht="47.25" x14ac:dyDescent="0.2">
      <c r="A36" s="133">
        <f t="shared" si="2"/>
        <v>11</v>
      </c>
      <c r="B36" s="15" t="s">
        <v>60</v>
      </c>
      <c r="C36" s="15" t="s">
        <v>33</v>
      </c>
      <c r="D36" s="194"/>
      <c r="E36" s="31" t="s">
        <v>121</v>
      </c>
      <c r="F36" s="16">
        <f>27.3*16.167</f>
        <v>441.35910000000007</v>
      </c>
      <c r="G36" s="17">
        <v>0.1</v>
      </c>
      <c r="H36" s="195">
        <f t="shared" si="0"/>
        <v>485.49501000000009</v>
      </c>
      <c r="I36" s="18" t="s">
        <v>16</v>
      </c>
      <c r="J36" s="19">
        <f>J$25</f>
        <v>0</v>
      </c>
      <c r="K36" s="94">
        <f t="shared" si="1"/>
        <v>0</v>
      </c>
      <c r="L36" s="93"/>
    </row>
    <row r="37" spans="1:12" s="5" customFormat="1" x14ac:dyDescent="0.2">
      <c r="A37" s="133" t="str">
        <f t="shared" si="2"/>
        <v/>
      </c>
      <c r="B37" s="15"/>
      <c r="C37" s="15"/>
      <c r="D37" s="194"/>
      <c r="E37" s="208" t="s">
        <v>81</v>
      </c>
      <c r="F37" s="16"/>
      <c r="G37" s="17"/>
      <c r="H37" s="195"/>
      <c r="I37" s="18"/>
      <c r="J37" s="19"/>
      <c r="K37" s="94"/>
      <c r="L37" s="93"/>
    </row>
    <row r="38" spans="1:12" s="5" customFormat="1" ht="31.5" x14ac:dyDescent="0.2">
      <c r="A38" s="133">
        <f t="shared" si="2"/>
        <v>12</v>
      </c>
      <c r="B38" s="15" t="s">
        <v>60</v>
      </c>
      <c r="C38" s="15"/>
      <c r="D38" s="194"/>
      <c r="E38" s="31" t="s">
        <v>77</v>
      </c>
      <c r="F38" s="16">
        <f>27.3*2</f>
        <v>54.6</v>
      </c>
      <c r="G38" s="17">
        <v>0.1</v>
      </c>
      <c r="H38" s="195">
        <f t="shared" si="0"/>
        <v>60.060000000000009</v>
      </c>
      <c r="I38" s="18" t="s">
        <v>24</v>
      </c>
      <c r="J38" s="19">
        <f>J$16</f>
        <v>0</v>
      </c>
      <c r="K38" s="94">
        <f t="shared" si="1"/>
        <v>0</v>
      </c>
      <c r="L38" s="93"/>
    </row>
    <row r="39" spans="1:12" s="5" customFormat="1" x14ac:dyDescent="0.2">
      <c r="A39" s="133" t="str">
        <f t="shared" si="2"/>
        <v/>
      </c>
      <c r="B39" s="15"/>
      <c r="C39" s="15"/>
      <c r="D39" s="194"/>
      <c r="E39" s="208" t="s">
        <v>83</v>
      </c>
      <c r="F39" s="16"/>
      <c r="G39" s="17"/>
      <c r="H39" s="195"/>
      <c r="I39" s="18"/>
      <c r="J39" s="19"/>
      <c r="K39" s="94"/>
      <c r="L39" s="93"/>
    </row>
    <row r="40" spans="1:12" s="5" customFormat="1" ht="31.5" x14ac:dyDescent="0.2">
      <c r="A40" s="133">
        <f t="shared" si="2"/>
        <v>13</v>
      </c>
      <c r="B40" s="15" t="s">
        <v>60</v>
      </c>
      <c r="C40" s="15"/>
      <c r="D40" s="212" t="s">
        <v>84</v>
      </c>
      <c r="E40" s="31" t="s">
        <v>30</v>
      </c>
      <c r="F40" s="16">
        <f>(27.3/4+1)*2*0.5</f>
        <v>7.8250000000000002</v>
      </c>
      <c r="G40" s="17">
        <v>0.1</v>
      </c>
      <c r="H40" s="195">
        <f t="shared" ref="H40" si="11">F40*(1+G40)</f>
        <v>8.6075000000000017</v>
      </c>
      <c r="I40" s="18" t="s">
        <v>24</v>
      </c>
      <c r="J40" s="19">
        <f>J$18</f>
        <v>0</v>
      </c>
      <c r="K40" s="94">
        <f t="shared" ref="K40" si="12">J40*H40</f>
        <v>0</v>
      </c>
      <c r="L40" s="93"/>
    </row>
    <row r="41" spans="1:12" s="5" customFormat="1" x14ac:dyDescent="0.2">
      <c r="A41" s="133" t="str">
        <f t="shared" si="2"/>
        <v/>
      </c>
      <c r="B41" s="15"/>
      <c r="C41" s="15"/>
      <c r="D41" s="194"/>
      <c r="E41" s="208" t="s">
        <v>85</v>
      </c>
      <c r="F41" s="16"/>
      <c r="G41" s="17"/>
      <c r="H41" s="195"/>
      <c r="I41" s="18"/>
      <c r="J41" s="19"/>
      <c r="K41" s="94"/>
      <c r="L41" s="93"/>
    </row>
    <row r="42" spans="1:12" s="5" customFormat="1" x14ac:dyDescent="0.2">
      <c r="A42" s="133">
        <f t="shared" si="2"/>
        <v>14</v>
      </c>
      <c r="B42" s="15" t="s">
        <v>60</v>
      </c>
      <c r="C42" s="15"/>
      <c r="D42" s="35"/>
      <c r="E42" s="31" t="s">
        <v>80</v>
      </c>
      <c r="F42" s="16">
        <v>27.3</v>
      </c>
      <c r="G42" s="17">
        <v>0.1</v>
      </c>
      <c r="H42" s="195">
        <f t="shared" ref="H42" si="13">F42*(1+G42)</f>
        <v>30.030000000000005</v>
      </c>
      <c r="I42" s="18" t="s">
        <v>24</v>
      </c>
      <c r="J42" s="19">
        <f>J$20</f>
        <v>0</v>
      </c>
      <c r="K42" s="94">
        <f t="shared" ref="K42" si="14">J42*H42</f>
        <v>0</v>
      </c>
      <c r="L42" s="93"/>
    </row>
    <row r="43" spans="1:12" s="5" customFormat="1" x14ac:dyDescent="0.2">
      <c r="A43" s="133" t="str">
        <f t="shared" si="2"/>
        <v/>
      </c>
      <c r="B43" s="15"/>
      <c r="C43" s="15"/>
      <c r="D43" s="194"/>
      <c r="E43" s="208" t="s">
        <v>86</v>
      </c>
      <c r="F43" s="16"/>
      <c r="G43" s="17"/>
      <c r="H43" s="195"/>
      <c r="I43" s="18"/>
      <c r="J43" s="19"/>
      <c r="K43" s="94"/>
      <c r="L43" s="93"/>
    </row>
    <row r="44" spans="1:12" s="5" customFormat="1" ht="16.5" thickBot="1" x14ac:dyDescent="0.25">
      <c r="A44" s="133">
        <f t="shared" si="2"/>
        <v>15</v>
      </c>
      <c r="B44" s="15" t="s">
        <v>60</v>
      </c>
      <c r="C44" s="15"/>
      <c r="D44" s="194"/>
      <c r="E44" s="31" t="s">
        <v>74</v>
      </c>
      <c r="F44" s="16">
        <v>441</v>
      </c>
      <c r="G44" s="17">
        <v>0.1</v>
      </c>
      <c r="H44" s="195">
        <f>F44*(1+G44)</f>
        <v>485.1</v>
      </c>
      <c r="I44" s="18" t="s">
        <v>16</v>
      </c>
      <c r="J44" s="19">
        <f>J$22</f>
        <v>0</v>
      </c>
      <c r="K44" s="94">
        <f>J44*H44</f>
        <v>0</v>
      </c>
      <c r="L44" s="93"/>
    </row>
    <row r="45" spans="1:12" s="5" customFormat="1" ht="16.5" thickBot="1" x14ac:dyDescent="0.25">
      <c r="A45" s="133" t="str">
        <f t="shared" si="2"/>
        <v/>
      </c>
      <c r="B45" s="188"/>
      <c r="C45" s="189"/>
      <c r="D45" s="190"/>
      <c r="E45" s="211" t="s">
        <v>93</v>
      </c>
      <c r="F45" s="192"/>
      <c r="G45" s="193"/>
      <c r="H45" s="29"/>
      <c r="I45" s="30"/>
      <c r="J45" s="19"/>
      <c r="K45" s="94"/>
      <c r="L45" s="93"/>
    </row>
    <row r="46" spans="1:12" s="5" customFormat="1" x14ac:dyDescent="0.2">
      <c r="A46" s="133" t="str">
        <f t="shared" si="2"/>
        <v/>
      </c>
      <c r="B46" s="15"/>
      <c r="C46" s="15"/>
      <c r="D46" s="194"/>
      <c r="E46" s="208" t="s">
        <v>82</v>
      </c>
      <c r="F46" s="16"/>
      <c r="G46" s="17"/>
      <c r="H46" s="195"/>
      <c r="I46" s="18"/>
      <c r="J46" s="19"/>
      <c r="K46" s="94"/>
      <c r="L46" s="93"/>
    </row>
    <row r="47" spans="1:12" s="5" customFormat="1" ht="47.25" x14ac:dyDescent="0.2">
      <c r="A47" s="133">
        <f t="shared" si="2"/>
        <v>16</v>
      </c>
      <c r="B47" s="15" t="s">
        <v>60</v>
      </c>
      <c r="C47" s="15" t="s">
        <v>34</v>
      </c>
      <c r="D47" s="194"/>
      <c r="E47" s="31" t="s">
        <v>76</v>
      </c>
      <c r="F47" s="16">
        <f>22.2*16.167</f>
        <v>358.9074</v>
      </c>
      <c r="G47" s="17">
        <v>0.1</v>
      </c>
      <c r="H47" s="195">
        <f t="shared" si="0"/>
        <v>394.79814000000005</v>
      </c>
      <c r="I47" s="18" t="s">
        <v>16</v>
      </c>
      <c r="J47" s="19">
        <f>J$14</f>
        <v>0</v>
      </c>
      <c r="K47" s="94">
        <f t="shared" si="1"/>
        <v>0</v>
      </c>
      <c r="L47" s="93"/>
    </row>
    <row r="48" spans="1:12" s="5" customFormat="1" x14ac:dyDescent="0.2">
      <c r="A48" s="133" t="str">
        <f t="shared" si="2"/>
        <v/>
      </c>
      <c r="B48" s="15"/>
      <c r="C48" s="15"/>
      <c r="D48" s="194"/>
      <c r="E48" s="208" t="s">
        <v>81</v>
      </c>
      <c r="F48" s="16"/>
      <c r="G48" s="17"/>
      <c r="H48" s="195"/>
      <c r="I48" s="18"/>
      <c r="J48" s="19"/>
      <c r="K48" s="94"/>
      <c r="L48" s="93"/>
    </row>
    <row r="49" spans="1:12" s="5" customFormat="1" ht="31.5" x14ac:dyDescent="0.2">
      <c r="A49" s="133">
        <f t="shared" si="2"/>
        <v>17</v>
      </c>
      <c r="B49" s="15" t="s">
        <v>60</v>
      </c>
      <c r="C49" s="15"/>
      <c r="D49" s="194"/>
      <c r="E49" s="31" t="s">
        <v>77</v>
      </c>
      <c r="F49" s="16">
        <f>22.2*2</f>
        <v>44.4</v>
      </c>
      <c r="G49" s="17">
        <v>0.1</v>
      </c>
      <c r="H49" s="195">
        <f t="shared" si="0"/>
        <v>48.84</v>
      </c>
      <c r="I49" s="18" t="s">
        <v>24</v>
      </c>
      <c r="J49" s="19">
        <f>J$16</f>
        <v>0</v>
      </c>
      <c r="K49" s="94">
        <f t="shared" si="1"/>
        <v>0</v>
      </c>
      <c r="L49" s="93"/>
    </row>
    <row r="50" spans="1:12" s="5" customFormat="1" x14ac:dyDescent="0.2">
      <c r="A50" s="133" t="str">
        <f t="shared" si="2"/>
        <v/>
      </c>
      <c r="B50" s="15"/>
      <c r="C50" s="15"/>
      <c r="D50" s="194"/>
      <c r="E50" s="208" t="s">
        <v>83</v>
      </c>
      <c r="F50" s="16"/>
      <c r="G50" s="17"/>
      <c r="H50" s="195"/>
      <c r="I50" s="18"/>
      <c r="J50" s="19"/>
      <c r="K50" s="94"/>
      <c r="L50" s="93"/>
    </row>
    <row r="51" spans="1:12" s="5" customFormat="1" ht="31.5" x14ac:dyDescent="0.2">
      <c r="A51" s="133">
        <f t="shared" si="2"/>
        <v>18</v>
      </c>
      <c r="B51" s="15" t="s">
        <v>60</v>
      </c>
      <c r="C51" s="15"/>
      <c r="D51" s="212" t="s">
        <v>84</v>
      </c>
      <c r="E51" s="31" t="s">
        <v>30</v>
      </c>
      <c r="F51" s="16">
        <f>(22.2/4+1)*2*0.5</f>
        <v>6.55</v>
      </c>
      <c r="G51" s="17">
        <v>0.1</v>
      </c>
      <c r="H51" s="195">
        <f t="shared" ref="H51" si="15">F51*(1+G51)</f>
        <v>7.2050000000000001</v>
      </c>
      <c r="I51" s="18" t="s">
        <v>24</v>
      </c>
      <c r="J51" s="19">
        <f>J$18</f>
        <v>0</v>
      </c>
      <c r="K51" s="94">
        <f t="shared" ref="K51" si="16">J51*H51</f>
        <v>0</v>
      </c>
      <c r="L51" s="93"/>
    </row>
    <row r="52" spans="1:12" s="5" customFormat="1" x14ac:dyDescent="0.2">
      <c r="A52" s="133" t="str">
        <f t="shared" si="2"/>
        <v/>
      </c>
      <c r="B52" s="15"/>
      <c r="C52" s="15"/>
      <c r="D52" s="194"/>
      <c r="E52" s="208" t="s">
        <v>85</v>
      </c>
      <c r="F52" s="16"/>
      <c r="G52" s="17"/>
      <c r="H52" s="195"/>
      <c r="I52" s="18"/>
      <c r="J52" s="19"/>
      <c r="K52" s="94"/>
      <c r="L52" s="93"/>
    </row>
    <row r="53" spans="1:12" s="5" customFormat="1" x14ac:dyDescent="0.2">
      <c r="A53" s="133">
        <f t="shared" si="2"/>
        <v>19</v>
      </c>
      <c r="B53" s="15" t="s">
        <v>60</v>
      </c>
      <c r="C53" s="15"/>
      <c r="D53" s="35"/>
      <c r="E53" s="31" t="s">
        <v>80</v>
      </c>
      <c r="F53" s="16">
        <v>22.2</v>
      </c>
      <c r="G53" s="17">
        <v>0.1</v>
      </c>
      <c r="H53" s="195">
        <f t="shared" ref="H53" si="17">F53*(1+G53)</f>
        <v>24.42</v>
      </c>
      <c r="I53" s="18" t="s">
        <v>24</v>
      </c>
      <c r="J53" s="19">
        <f>J$20</f>
        <v>0</v>
      </c>
      <c r="K53" s="94">
        <f t="shared" ref="K53" si="18">J53*H53</f>
        <v>0</v>
      </c>
      <c r="L53" s="93"/>
    </row>
    <row r="54" spans="1:12" s="5" customFormat="1" x14ac:dyDescent="0.2">
      <c r="A54" s="133" t="str">
        <f t="shared" si="2"/>
        <v/>
      </c>
      <c r="B54" s="15"/>
      <c r="C54" s="15"/>
      <c r="D54" s="194"/>
      <c r="E54" s="208" t="s">
        <v>86</v>
      </c>
      <c r="F54" s="16"/>
      <c r="G54" s="17"/>
      <c r="H54" s="195"/>
      <c r="I54" s="18"/>
      <c r="J54" s="19"/>
      <c r="K54" s="94"/>
      <c r="L54" s="93"/>
    </row>
    <row r="55" spans="1:12" s="5" customFormat="1" ht="16.5" thickBot="1" x14ac:dyDescent="0.25">
      <c r="A55" s="133">
        <f t="shared" si="2"/>
        <v>20</v>
      </c>
      <c r="B55" s="15" t="s">
        <v>60</v>
      </c>
      <c r="C55" s="15"/>
      <c r="D55" s="194"/>
      <c r="E55" s="31" t="s">
        <v>74</v>
      </c>
      <c r="F55" s="16">
        <v>359</v>
      </c>
      <c r="G55" s="17">
        <v>0.1</v>
      </c>
      <c r="H55" s="195">
        <f>F55*(1+G55)</f>
        <v>394.90000000000003</v>
      </c>
      <c r="I55" s="18" t="s">
        <v>16</v>
      </c>
      <c r="J55" s="19">
        <f>J$22</f>
        <v>0</v>
      </c>
      <c r="K55" s="94">
        <f>J55*H55</f>
        <v>0</v>
      </c>
      <c r="L55" s="93"/>
    </row>
    <row r="56" spans="1:12" s="5" customFormat="1" ht="16.5" thickBot="1" x14ac:dyDescent="0.25">
      <c r="A56" s="133" t="str">
        <f t="shared" si="2"/>
        <v/>
      </c>
      <c r="B56" s="188"/>
      <c r="C56" s="189"/>
      <c r="D56" s="190"/>
      <c r="E56" s="211" t="s">
        <v>92</v>
      </c>
      <c r="F56" s="192"/>
      <c r="G56" s="193"/>
      <c r="H56" s="29"/>
      <c r="I56" s="30"/>
      <c r="J56" s="19"/>
      <c r="K56" s="94"/>
      <c r="L56" s="93"/>
    </row>
    <row r="57" spans="1:12" s="5" customFormat="1" x14ac:dyDescent="0.2">
      <c r="A57" s="133" t="str">
        <f t="shared" si="2"/>
        <v/>
      </c>
      <c r="B57" s="15"/>
      <c r="C57" s="15"/>
      <c r="D57" s="194"/>
      <c r="E57" s="208" t="s">
        <v>82</v>
      </c>
      <c r="F57" s="16"/>
      <c r="G57" s="17"/>
      <c r="H57" s="195"/>
      <c r="I57" s="18"/>
      <c r="J57" s="19"/>
      <c r="K57" s="94"/>
      <c r="L57" s="93"/>
    </row>
    <row r="58" spans="1:12" s="5" customFormat="1" ht="47.25" x14ac:dyDescent="0.2">
      <c r="A58" s="133">
        <f t="shared" si="2"/>
        <v>21</v>
      </c>
      <c r="B58" s="15" t="s">
        <v>60</v>
      </c>
      <c r="C58" s="15" t="s">
        <v>35</v>
      </c>
      <c r="D58" s="194"/>
      <c r="E58" s="31" t="s">
        <v>120</v>
      </c>
      <c r="F58" s="16">
        <f>23.4*16.167</f>
        <v>378.30779999999999</v>
      </c>
      <c r="G58" s="17">
        <v>0.1</v>
      </c>
      <c r="H58" s="195">
        <f t="shared" si="0"/>
        <v>416.13857999999999</v>
      </c>
      <c r="I58" s="18" t="s">
        <v>16</v>
      </c>
      <c r="J58" s="19">
        <f>J$14</f>
        <v>0</v>
      </c>
      <c r="K58" s="94">
        <f t="shared" si="1"/>
        <v>0</v>
      </c>
      <c r="L58" s="93"/>
    </row>
    <row r="59" spans="1:12" s="5" customFormat="1" x14ac:dyDescent="0.2">
      <c r="A59" s="133" t="str">
        <f t="shared" si="2"/>
        <v/>
      </c>
      <c r="B59" s="15"/>
      <c r="C59" s="15"/>
      <c r="D59" s="194"/>
      <c r="E59" s="208" t="s">
        <v>81</v>
      </c>
      <c r="F59" s="16"/>
      <c r="G59" s="17"/>
      <c r="H59" s="195"/>
      <c r="I59" s="18"/>
      <c r="J59" s="19"/>
      <c r="K59" s="94"/>
      <c r="L59" s="93"/>
    </row>
    <row r="60" spans="1:12" s="5" customFormat="1" ht="31.5" x14ac:dyDescent="0.2">
      <c r="A60" s="133">
        <f t="shared" si="2"/>
        <v>22</v>
      </c>
      <c r="B60" s="15" t="s">
        <v>60</v>
      </c>
      <c r="C60" s="15"/>
      <c r="D60" s="194"/>
      <c r="E60" s="31" t="s">
        <v>77</v>
      </c>
      <c r="F60" s="16">
        <f>23.4*2</f>
        <v>46.8</v>
      </c>
      <c r="G60" s="17">
        <v>0.1</v>
      </c>
      <c r="H60" s="195">
        <f t="shared" si="0"/>
        <v>51.480000000000004</v>
      </c>
      <c r="I60" s="18" t="s">
        <v>24</v>
      </c>
      <c r="J60" s="19">
        <f>J$16</f>
        <v>0</v>
      </c>
      <c r="K60" s="94">
        <f t="shared" si="1"/>
        <v>0</v>
      </c>
      <c r="L60" s="93"/>
    </row>
    <row r="61" spans="1:12" s="5" customFormat="1" x14ac:dyDescent="0.2">
      <c r="A61" s="133" t="str">
        <f t="shared" si="2"/>
        <v/>
      </c>
      <c r="B61" s="15"/>
      <c r="C61" s="15"/>
      <c r="D61" s="194"/>
      <c r="E61" s="208" t="s">
        <v>83</v>
      </c>
      <c r="F61" s="16"/>
      <c r="G61" s="17"/>
      <c r="H61" s="195"/>
      <c r="I61" s="18"/>
      <c r="J61" s="19"/>
      <c r="K61" s="94"/>
      <c r="L61" s="93"/>
    </row>
    <row r="62" spans="1:12" s="5" customFormat="1" ht="31.5" x14ac:dyDescent="0.2">
      <c r="A62" s="133">
        <f t="shared" si="2"/>
        <v>23</v>
      </c>
      <c r="B62" s="15" t="s">
        <v>60</v>
      </c>
      <c r="C62" s="15"/>
      <c r="D62" s="212" t="s">
        <v>84</v>
      </c>
      <c r="E62" s="31" t="s">
        <v>30</v>
      </c>
      <c r="F62" s="16">
        <f>(23.4/4+1)*2*0.5</f>
        <v>6.85</v>
      </c>
      <c r="G62" s="17">
        <v>0.1</v>
      </c>
      <c r="H62" s="195">
        <f t="shared" ref="H62" si="19">F62*(1+G62)</f>
        <v>7.5350000000000001</v>
      </c>
      <c r="I62" s="18" t="s">
        <v>24</v>
      </c>
      <c r="J62" s="19">
        <f>J$18</f>
        <v>0</v>
      </c>
      <c r="K62" s="94">
        <f t="shared" ref="K62" si="20">J62*H62</f>
        <v>0</v>
      </c>
      <c r="L62" s="93"/>
    </row>
    <row r="63" spans="1:12" s="5" customFormat="1" x14ac:dyDescent="0.2">
      <c r="A63" s="133" t="str">
        <f t="shared" si="2"/>
        <v/>
      </c>
      <c r="B63" s="15"/>
      <c r="C63" s="15"/>
      <c r="D63" s="194"/>
      <c r="E63" s="208" t="s">
        <v>85</v>
      </c>
      <c r="F63" s="16"/>
      <c r="G63" s="17"/>
      <c r="H63" s="195"/>
      <c r="I63" s="18"/>
      <c r="J63" s="19"/>
      <c r="K63" s="94"/>
      <c r="L63" s="93"/>
    </row>
    <row r="64" spans="1:12" s="5" customFormat="1" x14ac:dyDescent="0.2">
      <c r="A64" s="133">
        <f t="shared" si="2"/>
        <v>24</v>
      </c>
      <c r="B64" s="15" t="s">
        <v>60</v>
      </c>
      <c r="C64" s="15"/>
      <c r="D64" s="35"/>
      <c r="E64" s="31" t="s">
        <v>80</v>
      </c>
      <c r="F64" s="16">
        <v>23.4</v>
      </c>
      <c r="G64" s="17">
        <v>0.1</v>
      </c>
      <c r="H64" s="195">
        <f t="shared" ref="H64" si="21">F64*(1+G64)</f>
        <v>25.740000000000002</v>
      </c>
      <c r="I64" s="18" t="s">
        <v>24</v>
      </c>
      <c r="J64" s="19">
        <f>J$20</f>
        <v>0</v>
      </c>
      <c r="K64" s="94">
        <f t="shared" ref="K64" si="22">J64*H64</f>
        <v>0</v>
      </c>
      <c r="L64" s="93"/>
    </row>
    <row r="65" spans="1:12" s="5" customFormat="1" x14ac:dyDescent="0.2">
      <c r="A65" s="133" t="str">
        <f t="shared" si="2"/>
        <v/>
      </c>
      <c r="B65" s="15"/>
      <c r="C65" s="15"/>
      <c r="D65" s="194"/>
      <c r="E65" s="208" t="s">
        <v>86</v>
      </c>
      <c r="F65" s="16"/>
      <c r="G65" s="17"/>
      <c r="H65" s="195"/>
      <c r="I65" s="18"/>
      <c r="J65" s="19"/>
      <c r="K65" s="94"/>
      <c r="L65" s="93"/>
    </row>
    <row r="66" spans="1:12" s="5" customFormat="1" ht="16.5" thickBot="1" x14ac:dyDescent="0.25">
      <c r="A66" s="133">
        <f t="shared" si="2"/>
        <v>25</v>
      </c>
      <c r="B66" s="15" t="s">
        <v>60</v>
      </c>
      <c r="C66" s="15"/>
      <c r="D66" s="194"/>
      <c r="E66" s="31" t="s">
        <v>74</v>
      </c>
      <c r="F66" s="16">
        <v>378</v>
      </c>
      <c r="G66" s="17">
        <v>0.1</v>
      </c>
      <c r="H66" s="195">
        <f>F66*(1+G66)</f>
        <v>415.8</v>
      </c>
      <c r="I66" s="18" t="s">
        <v>16</v>
      </c>
      <c r="J66" s="19">
        <f>J$22</f>
        <v>0</v>
      </c>
      <c r="K66" s="94">
        <f>J66*H66</f>
        <v>0</v>
      </c>
      <c r="L66" s="93"/>
    </row>
    <row r="67" spans="1:12" s="5" customFormat="1" ht="16.5" thickBot="1" x14ac:dyDescent="0.25">
      <c r="A67" s="133" t="str">
        <f t="shared" si="2"/>
        <v/>
      </c>
      <c r="B67" s="188"/>
      <c r="C67" s="189"/>
      <c r="D67" s="190"/>
      <c r="E67" s="211" t="s">
        <v>91</v>
      </c>
      <c r="F67" s="192"/>
      <c r="G67" s="193"/>
      <c r="H67" s="29"/>
      <c r="I67" s="30"/>
      <c r="J67" s="19"/>
      <c r="K67" s="94"/>
      <c r="L67" s="93"/>
    </row>
    <row r="68" spans="1:12" s="5" customFormat="1" x14ac:dyDescent="0.2">
      <c r="A68" s="133" t="str">
        <f t="shared" si="2"/>
        <v/>
      </c>
      <c r="B68" s="15"/>
      <c r="C68" s="15"/>
      <c r="D68" s="194"/>
      <c r="E68" s="208" t="s">
        <v>82</v>
      </c>
      <c r="F68" s="16"/>
      <c r="G68" s="17"/>
      <c r="H68" s="195"/>
      <c r="I68" s="18"/>
      <c r="J68" s="19"/>
      <c r="K68" s="94"/>
      <c r="L68" s="93"/>
    </row>
    <row r="69" spans="1:12" s="5" customFormat="1" ht="47.25" x14ac:dyDescent="0.2">
      <c r="A69" s="133">
        <f t="shared" si="2"/>
        <v>26</v>
      </c>
      <c r="B69" s="15" t="s">
        <v>60</v>
      </c>
      <c r="C69" s="15" t="s">
        <v>36</v>
      </c>
      <c r="D69" s="194"/>
      <c r="E69" s="31" t="s">
        <v>76</v>
      </c>
      <c r="F69" s="16">
        <f>22.2*16.167</f>
        <v>358.9074</v>
      </c>
      <c r="G69" s="17">
        <v>0.1</v>
      </c>
      <c r="H69" s="195">
        <f t="shared" si="0"/>
        <v>394.79814000000005</v>
      </c>
      <c r="I69" s="18" t="s">
        <v>16</v>
      </c>
      <c r="J69" s="19">
        <f>J$14</f>
        <v>0</v>
      </c>
      <c r="K69" s="94">
        <f t="shared" si="1"/>
        <v>0</v>
      </c>
      <c r="L69" s="93"/>
    </row>
    <row r="70" spans="1:12" s="5" customFormat="1" x14ac:dyDescent="0.2">
      <c r="A70" s="133" t="str">
        <f t="shared" si="2"/>
        <v/>
      </c>
      <c r="B70" s="15"/>
      <c r="C70" s="15"/>
      <c r="D70" s="194"/>
      <c r="E70" s="208" t="s">
        <v>81</v>
      </c>
      <c r="F70" s="16"/>
      <c r="G70" s="17"/>
      <c r="H70" s="195"/>
      <c r="I70" s="18"/>
      <c r="J70" s="19"/>
      <c r="K70" s="94"/>
      <c r="L70" s="93"/>
    </row>
    <row r="71" spans="1:12" s="5" customFormat="1" ht="31.5" x14ac:dyDescent="0.2">
      <c r="A71" s="133">
        <f t="shared" si="2"/>
        <v>27</v>
      </c>
      <c r="B71" s="15" t="s">
        <v>60</v>
      </c>
      <c r="C71" s="15"/>
      <c r="D71" s="194"/>
      <c r="E71" s="31" t="s">
        <v>77</v>
      </c>
      <c r="F71" s="16">
        <f>22.2*2</f>
        <v>44.4</v>
      </c>
      <c r="G71" s="17">
        <v>0.1</v>
      </c>
      <c r="H71" s="195">
        <f t="shared" si="0"/>
        <v>48.84</v>
      </c>
      <c r="I71" s="18" t="s">
        <v>24</v>
      </c>
      <c r="J71" s="19">
        <f>J$16</f>
        <v>0</v>
      </c>
      <c r="K71" s="94">
        <f t="shared" si="1"/>
        <v>0</v>
      </c>
      <c r="L71" s="93"/>
    </row>
    <row r="72" spans="1:12" s="5" customFormat="1" x14ac:dyDescent="0.2">
      <c r="A72" s="133" t="str">
        <f t="shared" si="2"/>
        <v/>
      </c>
      <c r="B72" s="15"/>
      <c r="C72" s="15"/>
      <c r="D72" s="194"/>
      <c r="E72" s="208" t="s">
        <v>83</v>
      </c>
      <c r="F72" s="16"/>
      <c r="G72" s="17"/>
      <c r="H72" s="195"/>
      <c r="I72" s="18"/>
      <c r="J72" s="19"/>
      <c r="K72" s="94"/>
      <c r="L72" s="93"/>
    </row>
    <row r="73" spans="1:12" s="5" customFormat="1" ht="31.5" x14ac:dyDescent="0.2">
      <c r="A73" s="133">
        <f t="shared" si="2"/>
        <v>28</v>
      </c>
      <c r="B73" s="15" t="s">
        <v>60</v>
      </c>
      <c r="C73" s="15"/>
      <c r="D73" s="212" t="s">
        <v>84</v>
      </c>
      <c r="E73" s="31" t="s">
        <v>30</v>
      </c>
      <c r="F73" s="16">
        <f>(22.2/4+1)*2*0.5</f>
        <v>6.55</v>
      </c>
      <c r="G73" s="17">
        <v>0.1</v>
      </c>
      <c r="H73" s="195">
        <f t="shared" ref="H73" si="23">F73*(1+G73)</f>
        <v>7.2050000000000001</v>
      </c>
      <c r="I73" s="18" t="s">
        <v>24</v>
      </c>
      <c r="J73" s="19">
        <f>J$18</f>
        <v>0</v>
      </c>
      <c r="K73" s="94">
        <f t="shared" ref="K73" si="24">J73*H73</f>
        <v>0</v>
      </c>
      <c r="L73" s="93"/>
    </row>
    <row r="74" spans="1:12" s="5" customFormat="1" x14ac:dyDescent="0.2">
      <c r="A74" s="133" t="str">
        <f t="shared" si="2"/>
        <v/>
      </c>
      <c r="B74" s="15"/>
      <c r="C74" s="15"/>
      <c r="D74" s="194"/>
      <c r="E74" s="208" t="s">
        <v>85</v>
      </c>
      <c r="F74" s="16"/>
      <c r="G74" s="17"/>
      <c r="H74" s="195"/>
      <c r="I74" s="18"/>
      <c r="J74" s="19"/>
      <c r="K74" s="94"/>
      <c r="L74" s="93"/>
    </row>
    <row r="75" spans="1:12" s="5" customFormat="1" x14ac:dyDescent="0.2">
      <c r="A75" s="133">
        <f t="shared" si="2"/>
        <v>29</v>
      </c>
      <c r="B75" s="15" t="s">
        <v>60</v>
      </c>
      <c r="C75" s="15"/>
      <c r="D75" s="35"/>
      <c r="E75" s="31" t="s">
        <v>80</v>
      </c>
      <c r="F75" s="16">
        <v>22.2</v>
      </c>
      <c r="G75" s="17">
        <v>0.1</v>
      </c>
      <c r="H75" s="195">
        <f t="shared" ref="H75" si="25">F75*(1+G75)</f>
        <v>24.42</v>
      </c>
      <c r="I75" s="18" t="s">
        <v>24</v>
      </c>
      <c r="J75" s="19">
        <f>J$20</f>
        <v>0</v>
      </c>
      <c r="K75" s="94">
        <f t="shared" ref="K75" si="26">J75*H75</f>
        <v>0</v>
      </c>
      <c r="L75" s="93"/>
    </row>
    <row r="76" spans="1:12" s="5" customFormat="1" x14ac:dyDescent="0.2">
      <c r="A76" s="133" t="str">
        <f t="shared" si="2"/>
        <v/>
      </c>
      <c r="B76" s="15"/>
      <c r="C76" s="15"/>
      <c r="D76" s="194"/>
      <c r="E76" s="208" t="s">
        <v>86</v>
      </c>
      <c r="F76" s="16"/>
      <c r="G76" s="17"/>
      <c r="H76" s="195"/>
      <c r="I76" s="18"/>
      <c r="J76" s="19"/>
      <c r="K76" s="94"/>
      <c r="L76" s="93"/>
    </row>
    <row r="77" spans="1:12" s="5" customFormat="1" ht="16.5" thickBot="1" x14ac:dyDescent="0.25">
      <c r="A77" s="133">
        <f t="shared" si="2"/>
        <v>30</v>
      </c>
      <c r="B77" s="15" t="s">
        <v>60</v>
      </c>
      <c r="C77" s="15"/>
      <c r="D77" s="194"/>
      <c r="E77" s="31" t="s">
        <v>74</v>
      </c>
      <c r="F77" s="16">
        <v>359</v>
      </c>
      <c r="G77" s="17">
        <v>0.1</v>
      </c>
      <c r="H77" s="195">
        <f>F77*(1+G77)</f>
        <v>394.90000000000003</v>
      </c>
      <c r="I77" s="18" t="s">
        <v>16</v>
      </c>
      <c r="J77" s="19">
        <f>J$22</f>
        <v>0</v>
      </c>
      <c r="K77" s="94">
        <f>J77*H77</f>
        <v>0</v>
      </c>
      <c r="L77" s="93"/>
    </row>
    <row r="78" spans="1:12" s="5" customFormat="1" ht="16.5" thickBot="1" x14ac:dyDescent="0.25">
      <c r="A78" s="133" t="str">
        <f t="shared" si="2"/>
        <v/>
      </c>
      <c r="B78" s="188"/>
      <c r="C78" s="189"/>
      <c r="D78" s="190"/>
      <c r="E78" s="211" t="s">
        <v>90</v>
      </c>
      <c r="F78" s="192"/>
      <c r="G78" s="193"/>
      <c r="H78" s="29"/>
      <c r="I78" s="30"/>
      <c r="J78" s="19"/>
      <c r="K78" s="94"/>
      <c r="L78" s="93"/>
    </row>
    <row r="79" spans="1:12" s="5" customFormat="1" x14ac:dyDescent="0.2">
      <c r="A79" s="133" t="str">
        <f t="shared" ref="A79:A142" si="27">IF(F79&lt;&gt;"",1+MAX(A66:A78),"")</f>
        <v/>
      </c>
      <c r="B79" s="15"/>
      <c r="C79" s="15"/>
      <c r="D79" s="194"/>
      <c r="E79" s="208" t="s">
        <v>82</v>
      </c>
      <c r="F79" s="16"/>
      <c r="G79" s="17"/>
      <c r="H79" s="195"/>
      <c r="I79" s="18"/>
      <c r="J79" s="19"/>
      <c r="K79" s="94"/>
      <c r="L79" s="93"/>
    </row>
    <row r="80" spans="1:12" s="5" customFormat="1" ht="47.25" x14ac:dyDescent="0.2">
      <c r="A80" s="133">
        <f t="shared" si="27"/>
        <v>31</v>
      </c>
      <c r="B80" s="15" t="s">
        <v>60</v>
      </c>
      <c r="C80" s="15" t="s">
        <v>37</v>
      </c>
      <c r="D80" s="194"/>
      <c r="E80" s="31" t="s">
        <v>76</v>
      </c>
      <c r="F80" s="16">
        <f>23.4*16.167</f>
        <v>378.30779999999999</v>
      </c>
      <c r="G80" s="17">
        <v>0.1</v>
      </c>
      <c r="H80" s="195">
        <f t="shared" si="0"/>
        <v>416.13857999999999</v>
      </c>
      <c r="I80" s="18" t="s">
        <v>16</v>
      </c>
      <c r="J80" s="19">
        <f>J$14</f>
        <v>0</v>
      </c>
      <c r="K80" s="94">
        <f t="shared" si="1"/>
        <v>0</v>
      </c>
      <c r="L80" s="93"/>
    </row>
    <row r="81" spans="1:12" s="5" customFormat="1" x14ac:dyDescent="0.2">
      <c r="A81" s="133" t="str">
        <f t="shared" si="27"/>
        <v/>
      </c>
      <c r="B81" s="15"/>
      <c r="C81" s="15"/>
      <c r="D81" s="194"/>
      <c r="E81" s="208" t="s">
        <v>81</v>
      </c>
      <c r="F81" s="16"/>
      <c r="G81" s="17"/>
      <c r="H81" s="195"/>
      <c r="I81" s="18"/>
      <c r="J81" s="19"/>
      <c r="K81" s="94"/>
      <c r="L81" s="93"/>
    </row>
    <row r="82" spans="1:12" s="5" customFormat="1" ht="31.5" x14ac:dyDescent="0.2">
      <c r="A82" s="133">
        <f t="shared" si="27"/>
        <v>32</v>
      </c>
      <c r="B82" s="15" t="s">
        <v>60</v>
      </c>
      <c r="C82" s="15"/>
      <c r="D82" s="194"/>
      <c r="E82" s="31" t="s">
        <v>77</v>
      </c>
      <c r="F82" s="16">
        <f>23.4*2</f>
        <v>46.8</v>
      </c>
      <c r="G82" s="17">
        <v>0.1</v>
      </c>
      <c r="H82" s="195">
        <f t="shared" si="0"/>
        <v>51.480000000000004</v>
      </c>
      <c r="I82" s="18" t="s">
        <v>24</v>
      </c>
      <c r="J82" s="19">
        <f>J$16</f>
        <v>0</v>
      </c>
      <c r="K82" s="94">
        <f t="shared" si="1"/>
        <v>0</v>
      </c>
      <c r="L82" s="93"/>
    </row>
    <row r="83" spans="1:12" s="5" customFormat="1" x14ac:dyDescent="0.2">
      <c r="A83" s="133" t="str">
        <f t="shared" si="27"/>
        <v/>
      </c>
      <c r="B83" s="15"/>
      <c r="C83" s="15"/>
      <c r="D83" s="194"/>
      <c r="E83" s="208" t="s">
        <v>83</v>
      </c>
      <c r="F83" s="16"/>
      <c r="G83" s="17"/>
      <c r="H83" s="195"/>
      <c r="I83" s="18"/>
      <c r="J83" s="19"/>
      <c r="K83" s="94"/>
      <c r="L83" s="93"/>
    </row>
    <row r="84" spans="1:12" s="5" customFormat="1" ht="31.5" x14ac:dyDescent="0.2">
      <c r="A84" s="133">
        <f t="shared" si="27"/>
        <v>33</v>
      </c>
      <c r="B84" s="15" t="s">
        <v>60</v>
      </c>
      <c r="C84" s="15"/>
      <c r="D84" s="212" t="s">
        <v>84</v>
      </c>
      <c r="E84" s="31" t="s">
        <v>30</v>
      </c>
      <c r="F84" s="16">
        <f>(23.4/4+1)*2*0.5</f>
        <v>6.85</v>
      </c>
      <c r="G84" s="17">
        <v>0.1</v>
      </c>
      <c r="H84" s="195">
        <f t="shared" ref="H84" si="28">F84*(1+G84)</f>
        <v>7.5350000000000001</v>
      </c>
      <c r="I84" s="18" t="s">
        <v>24</v>
      </c>
      <c r="J84" s="19">
        <f>J$18</f>
        <v>0</v>
      </c>
      <c r="K84" s="94">
        <f t="shared" ref="K84" si="29">J84*H84</f>
        <v>0</v>
      </c>
      <c r="L84" s="93"/>
    </row>
    <row r="85" spans="1:12" s="5" customFormat="1" x14ac:dyDescent="0.2">
      <c r="A85" s="133" t="str">
        <f t="shared" si="27"/>
        <v/>
      </c>
      <c r="B85" s="15"/>
      <c r="C85" s="15"/>
      <c r="D85" s="194"/>
      <c r="E85" s="208" t="s">
        <v>85</v>
      </c>
      <c r="F85" s="16"/>
      <c r="G85" s="17"/>
      <c r="H85" s="195"/>
      <c r="I85" s="18"/>
      <c r="J85" s="19"/>
      <c r="K85" s="94"/>
      <c r="L85" s="93"/>
    </row>
    <row r="86" spans="1:12" s="5" customFormat="1" x14ac:dyDescent="0.2">
      <c r="A86" s="133">
        <f t="shared" si="27"/>
        <v>34</v>
      </c>
      <c r="B86" s="15" t="s">
        <v>60</v>
      </c>
      <c r="C86" s="15"/>
      <c r="D86" s="35"/>
      <c r="E86" s="31" t="s">
        <v>80</v>
      </c>
      <c r="F86" s="16">
        <v>23.4</v>
      </c>
      <c r="G86" s="17">
        <v>0.1</v>
      </c>
      <c r="H86" s="195">
        <f t="shared" ref="H86" si="30">F86*(1+G86)</f>
        <v>25.740000000000002</v>
      </c>
      <c r="I86" s="18" t="s">
        <v>24</v>
      </c>
      <c r="J86" s="19">
        <f>J$20</f>
        <v>0</v>
      </c>
      <c r="K86" s="94">
        <f t="shared" ref="K86" si="31">J86*H86</f>
        <v>0</v>
      </c>
      <c r="L86" s="93"/>
    </row>
    <row r="87" spans="1:12" s="5" customFormat="1" x14ac:dyDescent="0.2">
      <c r="A87" s="133" t="str">
        <f t="shared" si="27"/>
        <v/>
      </c>
      <c r="B87" s="15"/>
      <c r="C87" s="15"/>
      <c r="D87" s="194"/>
      <c r="E87" s="208" t="s">
        <v>86</v>
      </c>
      <c r="F87" s="16"/>
      <c r="G87" s="17"/>
      <c r="H87" s="195"/>
      <c r="I87" s="18"/>
      <c r="J87" s="19"/>
      <c r="K87" s="94"/>
      <c r="L87" s="93"/>
    </row>
    <row r="88" spans="1:12" s="5" customFormat="1" ht="16.5" thickBot="1" x14ac:dyDescent="0.25">
      <c r="A88" s="133">
        <f t="shared" si="27"/>
        <v>35</v>
      </c>
      <c r="B88" s="15" t="s">
        <v>60</v>
      </c>
      <c r="C88" s="15"/>
      <c r="D88" s="194"/>
      <c r="E88" s="31" t="s">
        <v>74</v>
      </c>
      <c r="F88" s="16">
        <v>378</v>
      </c>
      <c r="G88" s="17">
        <v>0.1</v>
      </c>
      <c r="H88" s="195">
        <f>F88*(1+G88)</f>
        <v>415.8</v>
      </c>
      <c r="I88" s="18" t="s">
        <v>16</v>
      </c>
      <c r="J88" s="19">
        <f>J$22</f>
        <v>0</v>
      </c>
      <c r="K88" s="94">
        <f>J88*H88</f>
        <v>0</v>
      </c>
      <c r="L88" s="93"/>
    </row>
    <row r="89" spans="1:12" s="5" customFormat="1" ht="16.5" thickBot="1" x14ac:dyDescent="0.25">
      <c r="A89" s="133" t="str">
        <f t="shared" si="27"/>
        <v/>
      </c>
      <c r="B89" s="188"/>
      <c r="C89" s="189"/>
      <c r="D89" s="190"/>
      <c r="E89" s="211" t="s">
        <v>89</v>
      </c>
      <c r="F89" s="192"/>
      <c r="G89" s="193"/>
      <c r="H89" s="29"/>
      <c r="I89" s="30"/>
      <c r="J89" s="19"/>
      <c r="K89" s="94"/>
      <c r="L89" s="93"/>
    </row>
    <row r="90" spans="1:12" s="5" customFormat="1" x14ac:dyDescent="0.2">
      <c r="A90" s="133" t="str">
        <f t="shared" si="27"/>
        <v/>
      </c>
      <c r="B90" s="15"/>
      <c r="C90" s="15"/>
      <c r="D90" s="194"/>
      <c r="E90" s="208" t="s">
        <v>82</v>
      </c>
      <c r="F90" s="16"/>
      <c r="G90" s="17"/>
      <c r="H90" s="195"/>
      <c r="I90" s="18"/>
      <c r="J90" s="19"/>
      <c r="K90" s="94"/>
      <c r="L90" s="93"/>
    </row>
    <row r="91" spans="1:12" s="5" customFormat="1" ht="47.25" x14ac:dyDescent="0.2">
      <c r="A91" s="133">
        <f t="shared" si="27"/>
        <v>36</v>
      </c>
      <c r="B91" s="15" t="s">
        <v>60</v>
      </c>
      <c r="C91" s="15" t="s">
        <v>38</v>
      </c>
      <c r="D91" s="194"/>
      <c r="E91" s="31" t="s">
        <v>76</v>
      </c>
      <c r="F91" s="16">
        <f>27.7*16.167</f>
        <v>447.82590000000005</v>
      </c>
      <c r="G91" s="17">
        <v>0.1</v>
      </c>
      <c r="H91" s="195">
        <f t="shared" si="0"/>
        <v>492.60849000000007</v>
      </c>
      <c r="I91" s="18" t="s">
        <v>16</v>
      </c>
      <c r="J91" s="19">
        <f>J$14</f>
        <v>0</v>
      </c>
      <c r="K91" s="94">
        <f t="shared" si="1"/>
        <v>0</v>
      </c>
      <c r="L91" s="93"/>
    </row>
    <row r="92" spans="1:12" s="5" customFormat="1" x14ac:dyDescent="0.2">
      <c r="A92" s="133" t="str">
        <f t="shared" si="27"/>
        <v/>
      </c>
      <c r="B92" s="15"/>
      <c r="C92" s="15"/>
      <c r="D92" s="194"/>
      <c r="E92" s="208" t="s">
        <v>81</v>
      </c>
      <c r="F92" s="16"/>
      <c r="G92" s="17"/>
      <c r="H92" s="195"/>
      <c r="I92" s="18"/>
      <c r="J92" s="19"/>
      <c r="K92" s="94"/>
      <c r="L92" s="93"/>
    </row>
    <row r="93" spans="1:12" s="5" customFormat="1" ht="31.5" x14ac:dyDescent="0.2">
      <c r="A93" s="133">
        <f t="shared" si="27"/>
        <v>37</v>
      </c>
      <c r="B93" s="15" t="s">
        <v>60</v>
      </c>
      <c r="C93" s="15"/>
      <c r="D93" s="194"/>
      <c r="E93" s="31" t="s">
        <v>77</v>
      </c>
      <c r="F93" s="16">
        <f>27.7*2</f>
        <v>55.4</v>
      </c>
      <c r="G93" s="17">
        <v>0.1</v>
      </c>
      <c r="H93" s="195">
        <f t="shared" si="0"/>
        <v>60.940000000000005</v>
      </c>
      <c r="I93" s="18" t="s">
        <v>24</v>
      </c>
      <c r="J93" s="19">
        <f>J$16</f>
        <v>0</v>
      </c>
      <c r="K93" s="94">
        <f t="shared" si="1"/>
        <v>0</v>
      </c>
      <c r="L93" s="93"/>
    </row>
    <row r="94" spans="1:12" s="5" customFormat="1" x14ac:dyDescent="0.2">
      <c r="A94" s="133" t="str">
        <f t="shared" si="27"/>
        <v/>
      </c>
      <c r="B94" s="15"/>
      <c r="C94" s="15"/>
      <c r="D94" s="194"/>
      <c r="E94" s="208" t="s">
        <v>83</v>
      </c>
      <c r="F94" s="16"/>
      <c r="G94" s="17"/>
      <c r="H94" s="195"/>
      <c r="I94" s="18"/>
      <c r="J94" s="19"/>
      <c r="K94" s="94"/>
      <c r="L94" s="93"/>
    </row>
    <row r="95" spans="1:12" s="5" customFormat="1" ht="31.5" x14ac:dyDescent="0.2">
      <c r="A95" s="133">
        <f t="shared" si="27"/>
        <v>38</v>
      </c>
      <c r="B95" s="15" t="s">
        <v>60</v>
      </c>
      <c r="C95" s="15"/>
      <c r="D95" s="212" t="s">
        <v>84</v>
      </c>
      <c r="E95" s="31" t="s">
        <v>30</v>
      </c>
      <c r="F95" s="16">
        <f>(27.7/4+1)*2*0.5</f>
        <v>7.9249999999999998</v>
      </c>
      <c r="G95" s="17">
        <v>0.1</v>
      </c>
      <c r="H95" s="195">
        <f t="shared" ref="H95" si="32">F95*(1+G95)</f>
        <v>8.7175000000000011</v>
      </c>
      <c r="I95" s="18" t="s">
        <v>24</v>
      </c>
      <c r="J95" s="19">
        <f>J$18</f>
        <v>0</v>
      </c>
      <c r="K95" s="94">
        <f t="shared" ref="K95" si="33">J95*H95</f>
        <v>0</v>
      </c>
      <c r="L95" s="93"/>
    </row>
    <row r="96" spans="1:12" s="5" customFormat="1" x14ac:dyDescent="0.2">
      <c r="A96" s="133" t="str">
        <f t="shared" si="27"/>
        <v/>
      </c>
      <c r="B96" s="15"/>
      <c r="C96" s="15"/>
      <c r="D96" s="194"/>
      <c r="E96" s="208" t="s">
        <v>85</v>
      </c>
      <c r="F96" s="16"/>
      <c r="G96" s="17"/>
      <c r="H96" s="195"/>
      <c r="I96" s="18"/>
      <c r="J96" s="19"/>
      <c r="K96" s="94"/>
      <c r="L96" s="93"/>
    </row>
    <row r="97" spans="1:12" s="5" customFormat="1" x14ac:dyDescent="0.2">
      <c r="A97" s="133">
        <f t="shared" si="27"/>
        <v>39</v>
      </c>
      <c r="B97" s="15" t="s">
        <v>60</v>
      </c>
      <c r="C97" s="15"/>
      <c r="D97" s="35"/>
      <c r="E97" s="31" t="s">
        <v>80</v>
      </c>
      <c r="F97" s="16">
        <v>27.7</v>
      </c>
      <c r="G97" s="17">
        <v>0.1</v>
      </c>
      <c r="H97" s="195">
        <f t="shared" ref="H97" si="34">F97*(1+G97)</f>
        <v>30.470000000000002</v>
      </c>
      <c r="I97" s="18" t="s">
        <v>24</v>
      </c>
      <c r="J97" s="19">
        <f>J$20</f>
        <v>0</v>
      </c>
      <c r="K97" s="94">
        <f t="shared" ref="K97" si="35">J97*H97</f>
        <v>0</v>
      </c>
      <c r="L97" s="93"/>
    </row>
    <row r="98" spans="1:12" s="5" customFormat="1" x14ac:dyDescent="0.2">
      <c r="A98" s="133" t="str">
        <f t="shared" si="27"/>
        <v/>
      </c>
      <c r="B98" s="15"/>
      <c r="C98" s="15"/>
      <c r="D98" s="194"/>
      <c r="E98" s="208" t="s">
        <v>86</v>
      </c>
      <c r="F98" s="16"/>
      <c r="G98" s="17"/>
      <c r="H98" s="195"/>
      <c r="I98" s="18"/>
      <c r="J98" s="19"/>
      <c r="K98" s="94"/>
      <c r="L98" s="93"/>
    </row>
    <row r="99" spans="1:12" s="5" customFormat="1" ht="16.5" thickBot="1" x14ac:dyDescent="0.25">
      <c r="A99" s="133">
        <f t="shared" si="27"/>
        <v>40</v>
      </c>
      <c r="B99" s="15" t="s">
        <v>60</v>
      </c>
      <c r="C99" s="15"/>
      <c r="D99" s="194"/>
      <c r="E99" s="31" t="s">
        <v>74</v>
      </c>
      <c r="F99" s="16">
        <v>448</v>
      </c>
      <c r="G99" s="17">
        <v>0.1</v>
      </c>
      <c r="H99" s="195">
        <f>F99*(1+G99)</f>
        <v>492.80000000000007</v>
      </c>
      <c r="I99" s="18" t="s">
        <v>16</v>
      </c>
      <c r="J99" s="19">
        <f>J$22</f>
        <v>0</v>
      </c>
      <c r="K99" s="94">
        <f>J99*H99</f>
        <v>0</v>
      </c>
      <c r="L99" s="93"/>
    </row>
    <row r="100" spans="1:12" s="5" customFormat="1" ht="16.5" thickBot="1" x14ac:dyDescent="0.25">
      <c r="A100" s="133" t="str">
        <f t="shared" si="27"/>
        <v/>
      </c>
      <c r="B100" s="188"/>
      <c r="C100" s="189"/>
      <c r="D100" s="190"/>
      <c r="E100" s="211" t="s">
        <v>88</v>
      </c>
      <c r="F100" s="192"/>
      <c r="G100" s="193"/>
      <c r="H100" s="29"/>
      <c r="I100" s="30"/>
      <c r="J100" s="19"/>
      <c r="K100" s="94"/>
      <c r="L100" s="93"/>
    </row>
    <row r="101" spans="1:12" s="5" customFormat="1" x14ac:dyDescent="0.2">
      <c r="A101" s="133" t="str">
        <f t="shared" si="27"/>
        <v/>
      </c>
      <c r="B101" s="15"/>
      <c r="C101" s="15"/>
      <c r="D101" s="194"/>
      <c r="E101" s="208" t="s">
        <v>82</v>
      </c>
      <c r="F101" s="16"/>
      <c r="G101" s="17"/>
      <c r="H101" s="195"/>
      <c r="I101" s="18"/>
      <c r="J101" s="19"/>
      <c r="K101" s="94"/>
      <c r="L101" s="93"/>
    </row>
    <row r="102" spans="1:12" s="5" customFormat="1" ht="47.25" x14ac:dyDescent="0.2">
      <c r="A102" s="133">
        <f t="shared" si="27"/>
        <v>41</v>
      </c>
      <c r="B102" s="15" t="s">
        <v>60</v>
      </c>
      <c r="C102" s="15" t="s">
        <v>39</v>
      </c>
      <c r="D102" s="194"/>
      <c r="E102" s="31" t="s">
        <v>121</v>
      </c>
      <c r="F102" s="16">
        <f>27.3*16.167</f>
        <v>441.35910000000007</v>
      </c>
      <c r="G102" s="17">
        <v>0.1</v>
      </c>
      <c r="H102" s="195">
        <f t="shared" si="0"/>
        <v>485.49501000000009</v>
      </c>
      <c r="I102" s="18" t="s">
        <v>16</v>
      </c>
      <c r="J102" s="19">
        <f>J$25</f>
        <v>0</v>
      </c>
      <c r="K102" s="94">
        <f t="shared" si="1"/>
        <v>0</v>
      </c>
      <c r="L102" s="93"/>
    </row>
    <row r="103" spans="1:12" s="5" customFormat="1" x14ac:dyDescent="0.2">
      <c r="A103" s="133" t="str">
        <f t="shared" si="27"/>
        <v/>
      </c>
      <c r="B103" s="15"/>
      <c r="C103" s="15"/>
      <c r="D103" s="194"/>
      <c r="E103" s="208" t="s">
        <v>81</v>
      </c>
      <c r="F103" s="16"/>
      <c r="G103" s="17"/>
      <c r="H103" s="195"/>
      <c r="I103" s="18"/>
      <c r="J103" s="19"/>
      <c r="K103" s="94"/>
      <c r="L103" s="93"/>
    </row>
    <row r="104" spans="1:12" s="5" customFormat="1" ht="31.5" x14ac:dyDescent="0.2">
      <c r="A104" s="133">
        <f t="shared" si="27"/>
        <v>42</v>
      </c>
      <c r="B104" s="15" t="s">
        <v>60</v>
      </c>
      <c r="C104" s="15"/>
      <c r="D104" s="194"/>
      <c r="E104" s="31" t="s">
        <v>77</v>
      </c>
      <c r="F104" s="16">
        <f>27.3*2</f>
        <v>54.6</v>
      </c>
      <c r="G104" s="17">
        <v>0.1</v>
      </c>
      <c r="H104" s="195">
        <f t="shared" si="0"/>
        <v>60.060000000000009</v>
      </c>
      <c r="I104" s="18" t="s">
        <v>24</v>
      </c>
      <c r="J104" s="19">
        <f>J$16</f>
        <v>0</v>
      </c>
      <c r="K104" s="94">
        <f t="shared" si="1"/>
        <v>0</v>
      </c>
      <c r="L104" s="93"/>
    </row>
    <row r="105" spans="1:12" s="5" customFormat="1" x14ac:dyDescent="0.2">
      <c r="A105" s="133" t="str">
        <f t="shared" si="27"/>
        <v/>
      </c>
      <c r="B105" s="15"/>
      <c r="C105" s="15"/>
      <c r="D105" s="194"/>
      <c r="E105" s="208" t="s">
        <v>83</v>
      </c>
      <c r="F105" s="16"/>
      <c r="G105" s="17"/>
      <c r="H105" s="195"/>
      <c r="I105" s="18"/>
      <c r="J105" s="19"/>
      <c r="K105" s="94"/>
      <c r="L105" s="93"/>
    </row>
    <row r="106" spans="1:12" s="5" customFormat="1" ht="31.5" x14ac:dyDescent="0.2">
      <c r="A106" s="133">
        <f t="shared" si="27"/>
        <v>43</v>
      </c>
      <c r="B106" s="15" t="s">
        <v>60</v>
      </c>
      <c r="C106" s="15"/>
      <c r="D106" s="212" t="s">
        <v>84</v>
      </c>
      <c r="E106" s="31" t="s">
        <v>30</v>
      </c>
      <c r="F106" s="16">
        <f>(27.3/4+1)*2*0.5</f>
        <v>7.8250000000000002</v>
      </c>
      <c r="G106" s="17">
        <v>0.1</v>
      </c>
      <c r="H106" s="195">
        <f t="shared" ref="H106" si="36">F106*(1+G106)</f>
        <v>8.6075000000000017</v>
      </c>
      <c r="I106" s="18" t="s">
        <v>24</v>
      </c>
      <c r="J106" s="19">
        <f>J$18</f>
        <v>0</v>
      </c>
      <c r="K106" s="94">
        <f t="shared" ref="K106" si="37">J106*H106</f>
        <v>0</v>
      </c>
      <c r="L106" s="93"/>
    </row>
    <row r="107" spans="1:12" s="5" customFormat="1" x14ac:dyDescent="0.2">
      <c r="A107" s="133" t="str">
        <f t="shared" si="27"/>
        <v/>
      </c>
      <c r="B107" s="15"/>
      <c r="C107" s="15"/>
      <c r="D107" s="194"/>
      <c r="E107" s="208" t="s">
        <v>85</v>
      </c>
      <c r="F107" s="16"/>
      <c r="G107" s="17"/>
      <c r="H107" s="195"/>
      <c r="I107" s="18"/>
      <c r="J107" s="19"/>
      <c r="K107" s="94"/>
      <c r="L107" s="93"/>
    </row>
    <row r="108" spans="1:12" s="5" customFormat="1" x14ac:dyDescent="0.2">
      <c r="A108" s="133">
        <f t="shared" si="27"/>
        <v>44</v>
      </c>
      <c r="B108" s="15" t="s">
        <v>60</v>
      </c>
      <c r="C108" s="15"/>
      <c r="D108" s="35"/>
      <c r="E108" s="31" t="s">
        <v>80</v>
      </c>
      <c r="F108" s="16">
        <f>27.3</f>
        <v>27.3</v>
      </c>
      <c r="G108" s="17">
        <v>0.1</v>
      </c>
      <c r="H108" s="195">
        <f t="shared" ref="H108" si="38">F108*(1+G108)</f>
        <v>30.030000000000005</v>
      </c>
      <c r="I108" s="18" t="s">
        <v>24</v>
      </c>
      <c r="J108" s="19">
        <f>J$20</f>
        <v>0</v>
      </c>
      <c r="K108" s="94">
        <f t="shared" ref="K108" si="39">J108*H108</f>
        <v>0</v>
      </c>
      <c r="L108" s="93"/>
    </row>
    <row r="109" spans="1:12" s="5" customFormat="1" x14ac:dyDescent="0.2">
      <c r="A109" s="133" t="str">
        <f t="shared" si="27"/>
        <v/>
      </c>
      <c r="B109" s="15"/>
      <c r="C109" s="15"/>
      <c r="D109" s="194"/>
      <c r="E109" s="208" t="s">
        <v>86</v>
      </c>
      <c r="F109" s="16"/>
      <c r="G109" s="17"/>
      <c r="H109" s="195"/>
      <c r="I109" s="18"/>
      <c r="J109" s="19"/>
      <c r="K109" s="94"/>
      <c r="L109" s="93"/>
    </row>
    <row r="110" spans="1:12" s="5" customFormat="1" ht="16.5" thickBot="1" x14ac:dyDescent="0.25">
      <c r="A110" s="133">
        <f t="shared" si="27"/>
        <v>45</v>
      </c>
      <c r="B110" s="15" t="s">
        <v>60</v>
      </c>
      <c r="C110" s="15"/>
      <c r="D110" s="194"/>
      <c r="E110" s="31" t="s">
        <v>74</v>
      </c>
      <c r="F110" s="16">
        <v>441</v>
      </c>
      <c r="G110" s="17">
        <v>0.1</v>
      </c>
      <c r="H110" s="195">
        <f>F110*(1+G110)</f>
        <v>485.1</v>
      </c>
      <c r="I110" s="18" t="s">
        <v>16</v>
      </c>
      <c r="J110" s="19">
        <f>J$22</f>
        <v>0</v>
      </c>
      <c r="K110" s="94">
        <f>J110*H110</f>
        <v>0</v>
      </c>
      <c r="L110" s="93"/>
    </row>
    <row r="111" spans="1:12" s="5" customFormat="1" ht="16.5" thickBot="1" x14ac:dyDescent="0.25">
      <c r="A111" s="133" t="str">
        <f t="shared" si="27"/>
        <v/>
      </c>
      <c r="B111" s="188"/>
      <c r="C111" s="189"/>
      <c r="D111" s="190"/>
      <c r="E111" s="211" t="s">
        <v>87</v>
      </c>
      <c r="F111" s="192"/>
      <c r="G111" s="193"/>
      <c r="H111" s="29"/>
      <c r="I111" s="30"/>
      <c r="J111" s="19"/>
      <c r="K111" s="94"/>
      <c r="L111" s="93"/>
    </row>
    <row r="112" spans="1:12" s="5" customFormat="1" x14ac:dyDescent="0.2">
      <c r="A112" s="133" t="str">
        <f t="shared" si="27"/>
        <v/>
      </c>
      <c r="B112" s="15"/>
      <c r="C112" s="15"/>
      <c r="D112" s="194"/>
      <c r="E112" s="208" t="s">
        <v>82</v>
      </c>
      <c r="F112" s="16"/>
      <c r="G112" s="17"/>
      <c r="H112" s="195"/>
      <c r="I112" s="18"/>
      <c r="J112" s="19"/>
      <c r="K112" s="94"/>
      <c r="L112" s="93"/>
    </row>
    <row r="113" spans="1:12" s="5" customFormat="1" ht="47.25" x14ac:dyDescent="0.2">
      <c r="A113" s="133">
        <f t="shared" si="27"/>
        <v>46</v>
      </c>
      <c r="B113" s="15" t="s">
        <v>60</v>
      </c>
      <c r="C113" s="15" t="s">
        <v>40</v>
      </c>
      <c r="D113" s="194"/>
      <c r="E113" s="31" t="s">
        <v>121</v>
      </c>
      <c r="F113" s="16">
        <f>27.3*16.167</f>
        <v>441.35910000000007</v>
      </c>
      <c r="G113" s="17">
        <v>0.1</v>
      </c>
      <c r="H113" s="195">
        <f t="shared" si="0"/>
        <v>485.49501000000009</v>
      </c>
      <c r="I113" s="18" t="s">
        <v>16</v>
      </c>
      <c r="J113" s="19">
        <f>J$25</f>
        <v>0</v>
      </c>
      <c r="K113" s="94">
        <f t="shared" si="1"/>
        <v>0</v>
      </c>
      <c r="L113" s="93"/>
    </row>
    <row r="114" spans="1:12" s="5" customFormat="1" x14ac:dyDescent="0.2">
      <c r="A114" s="133" t="str">
        <f t="shared" si="27"/>
        <v/>
      </c>
      <c r="B114" s="15"/>
      <c r="C114" s="15"/>
      <c r="D114" s="194"/>
      <c r="E114" s="208" t="s">
        <v>81</v>
      </c>
      <c r="F114" s="16"/>
      <c r="G114" s="17"/>
      <c r="H114" s="195"/>
      <c r="I114" s="18"/>
      <c r="J114" s="19"/>
      <c r="K114" s="94"/>
      <c r="L114" s="93"/>
    </row>
    <row r="115" spans="1:12" s="5" customFormat="1" ht="31.5" x14ac:dyDescent="0.2">
      <c r="A115" s="133">
        <f t="shared" si="27"/>
        <v>47</v>
      </c>
      <c r="B115" s="15" t="s">
        <v>60</v>
      </c>
      <c r="C115" s="15"/>
      <c r="D115" s="194"/>
      <c r="E115" s="31" t="s">
        <v>77</v>
      </c>
      <c r="F115" s="16">
        <f>27.3*2</f>
        <v>54.6</v>
      </c>
      <c r="G115" s="17">
        <v>0.1</v>
      </c>
      <c r="H115" s="195">
        <f t="shared" si="0"/>
        <v>60.060000000000009</v>
      </c>
      <c r="I115" s="18" t="s">
        <v>24</v>
      </c>
      <c r="J115" s="19">
        <f>J$16</f>
        <v>0</v>
      </c>
      <c r="K115" s="94">
        <f t="shared" si="1"/>
        <v>0</v>
      </c>
      <c r="L115" s="93"/>
    </row>
    <row r="116" spans="1:12" s="5" customFormat="1" x14ac:dyDescent="0.2">
      <c r="A116" s="133" t="str">
        <f t="shared" si="27"/>
        <v/>
      </c>
      <c r="B116" s="15"/>
      <c r="C116" s="15"/>
      <c r="D116" s="194"/>
      <c r="E116" s="208" t="s">
        <v>83</v>
      </c>
      <c r="F116" s="16"/>
      <c r="G116" s="17"/>
      <c r="H116" s="195"/>
      <c r="I116" s="18"/>
      <c r="J116" s="19"/>
      <c r="K116" s="94"/>
      <c r="L116" s="93"/>
    </row>
    <row r="117" spans="1:12" s="5" customFormat="1" ht="31.5" x14ac:dyDescent="0.2">
      <c r="A117" s="133">
        <f t="shared" si="27"/>
        <v>48</v>
      </c>
      <c r="B117" s="15" t="s">
        <v>60</v>
      </c>
      <c r="C117" s="15"/>
      <c r="D117" s="212" t="s">
        <v>84</v>
      </c>
      <c r="E117" s="31" t="s">
        <v>30</v>
      </c>
      <c r="F117" s="16">
        <f>(27.3/4+1)*2*0.5</f>
        <v>7.8250000000000002</v>
      </c>
      <c r="G117" s="17">
        <v>0.1</v>
      </c>
      <c r="H117" s="195">
        <f t="shared" si="0"/>
        <v>8.6075000000000017</v>
      </c>
      <c r="I117" s="18" t="s">
        <v>24</v>
      </c>
      <c r="J117" s="19">
        <f>J$18</f>
        <v>0</v>
      </c>
      <c r="K117" s="94">
        <f t="shared" si="1"/>
        <v>0</v>
      </c>
      <c r="L117" s="93"/>
    </row>
    <row r="118" spans="1:12" s="5" customFormat="1" x14ac:dyDescent="0.2">
      <c r="A118" s="133" t="str">
        <f t="shared" si="27"/>
        <v/>
      </c>
      <c r="B118" s="15"/>
      <c r="C118" s="15"/>
      <c r="D118" s="194"/>
      <c r="E118" s="208" t="s">
        <v>85</v>
      </c>
      <c r="F118" s="16"/>
      <c r="G118" s="17"/>
      <c r="H118" s="195"/>
      <c r="I118" s="18"/>
      <c r="J118" s="19"/>
      <c r="K118" s="94"/>
      <c r="L118" s="93"/>
    </row>
    <row r="119" spans="1:12" s="5" customFormat="1" x14ac:dyDescent="0.2">
      <c r="A119" s="133">
        <f t="shared" si="27"/>
        <v>49</v>
      </c>
      <c r="B119" s="15" t="s">
        <v>60</v>
      </c>
      <c r="C119" s="15"/>
      <c r="D119" s="35"/>
      <c r="E119" s="31" t="s">
        <v>80</v>
      </c>
      <c r="F119" s="16">
        <f>27.3</f>
        <v>27.3</v>
      </c>
      <c r="G119" s="17">
        <v>0.1</v>
      </c>
      <c r="H119" s="195">
        <f t="shared" ref="H119" si="40">F119*(1+G119)</f>
        <v>30.030000000000005</v>
      </c>
      <c r="I119" s="18" t="s">
        <v>24</v>
      </c>
      <c r="J119" s="19">
        <f>J$20</f>
        <v>0</v>
      </c>
      <c r="K119" s="94">
        <f t="shared" ref="K119" si="41">J119*H119</f>
        <v>0</v>
      </c>
      <c r="L119" s="93"/>
    </row>
    <row r="120" spans="1:12" s="5" customFormat="1" x14ac:dyDescent="0.2">
      <c r="A120" s="133" t="str">
        <f t="shared" si="27"/>
        <v/>
      </c>
      <c r="B120" s="15"/>
      <c r="C120" s="15"/>
      <c r="D120" s="194"/>
      <c r="E120" s="208" t="s">
        <v>86</v>
      </c>
      <c r="F120" s="16"/>
      <c r="G120" s="17"/>
      <c r="H120" s="195"/>
      <c r="I120" s="18"/>
      <c r="J120" s="19"/>
      <c r="K120" s="94"/>
      <c r="L120" s="93"/>
    </row>
    <row r="121" spans="1:12" s="5" customFormat="1" x14ac:dyDescent="0.2">
      <c r="A121" s="133">
        <f t="shared" si="27"/>
        <v>50</v>
      </c>
      <c r="B121" s="15" t="s">
        <v>60</v>
      </c>
      <c r="C121" s="15"/>
      <c r="D121" s="194"/>
      <c r="E121" s="31" t="s">
        <v>74</v>
      </c>
      <c r="F121" s="16">
        <v>441</v>
      </c>
      <c r="G121" s="17">
        <v>0.1</v>
      </c>
      <c r="H121" s="195">
        <f>F121*(1+G121)</f>
        <v>485.1</v>
      </c>
      <c r="I121" s="18" t="s">
        <v>16</v>
      </c>
      <c r="J121" s="19">
        <f>J$22</f>
        <v>0</v>
      </c>
      <c r="K121" s="94">
        <f>J121*H121</f>
        <v>0</v>
      </c>
      <c r="L121" s="93"/>
    </row>
    <row r="122" spans="1:12" s="5" customFormat="1" ht="16.5" thickBot="1" x14ac:dyDescent="0.25">
      <c r="A122" s="133" t="str">
        <f t="shared" si="27"/>
        <v/>
      </c>
      <c r="B122" s="15"/>
      <c r="C122" s="15"/>
      <c r="D122" s="35"/>
      <c r="E122" s="31"/>
      <c r="F122" s="16"/>
      <c r="G122" s="17"/>
      <c r="H122" s="195"/>
      <c r="I122" s="18"/>
      <c r="J122" s="18"/>
      <c r="K122" s="94"/>
      <c r="L122" s="93"/>
    </row>
    <row r="123" spans="1:12" s="5" customFormat="1" ht="16.5" thickBot="1" x14ac:dyDescent="0.25">
      <c r="A123" s="133" t="str">
        <f t="shared" si="27"/>
        <v/>
      </c>
      <c r="B123" s="180"/>
      <c r="C123" s="181"/>
      <c r="D123" s="182"/>
      <c r="E123" s="183" t="s">
        <v>26</v>
      </c>
      <c r="F123" s="184"/>
      <c r="G123" s="185"/>
      <c r="H123" s="186"/>
      <c r="I123" s="187"/>
      <c r="J123" s="213"/>
      <c r="K123" s="179"/>
      <c r="L123" s="93"/>
    </row>
    <row r="124" spans="1:12" s="5" customFormat="1" ht="16.5" thickBot="1" x14ac:dyDescent="0.25">
      <c r="A124" s="133" t="str">
        <f t="shared" si="27"/>
        <v/>
      </c>
      <c r="B124" s="15"/>
      <c r="C124" s="189"/>
      <c r="D124" s="190"/>
      <c r="E124" s="211" t="s">
        <v>95</v>
      </c>
      <c r="F124" s="192"/>
      <c r="G124" s="193"/>
      <c r="H124" s="29"/>
      <c r="I124" s="30"/>
      <c r="J124" s="19"/>
      <c r="K124" s="94"/>
      <c r="L124" s="93"/>
    </row>
    <row r="125" spans="1:12" s="5" customFormat="1" x14ac:dyDescent="0.2">
      <c r="A125" s="133" t="str">
        <f t="shared" si="27"/>
        <v/>
      </c>
      <c r="B125" s="188"/>
      <c r="C125" s="189"/>
      <c r="D125" s="190"/>
      <c r="E125" s="208" t="s">
        <v>82</v>
      </c>
      <c r="F125" s="192"/>
      <c r="G125" s="193"/>
      <c r="H125" s="29"/>
      <c r="I125" s="30"/>
      <c r="J125" s="19"/>
      <c r="K125" s="94"/>
      <c r="L125" s="93"/>
    </row>
    <row r="126" spans="1:12" s="5" customFormat="1" ht="47.25" x14ac:dyDescent="0.2">
      <c r="A126" s="133">
        <f t="shared" si="27"/>
        <v>51</v>
      </c>
      <c r="B126" s="15" t="s">
        <v>61</v>
      </c>
      <c r="C126" s="15" t="s">
        <v>41</v>
      </c>
      <c r="D126" s="194"/>
      <c r="E126" s="31" t="s">
        <v>119</v>
      </c>
      <c r="F126" s="16">
        <f>27.7*13</f>
        <v>360.09999999999997</v>
      </c>
      <c r="G126" s="17">
        <v>0.1</v>
      </c>
      <c r="H126" s="195">
        <f t="shared" ref="H126:H225" si="42">F126*(1+G126)</f>
        <v>396.11</v>
      </c>
      <c r="I126" s="18" t="s">
        <v>16</v>
      </c>
      <c r="J126" s="104">
        <v>0</v>
      </c>
      <c r="K126" s="94">
        <f t="shared" ref="K126:K225" si="43">J126*H126</f>
        <v>0</v>
      </c>
      <c r="L126" s="93"/>
    </row>
    <row r="127" spans="1:12" s="5" customFormat="1" x14ac:dyDescent="0.2">
      <c r="A127" s="133" t="str">
        <f t="shared" si="27"/>
        <v/>
      </c>
      <c r="B127" s="15"/>
      <c r="C127" s="15"/>
      <c r="D127" s="194"/>
      <c r="E127" s="208" t="s">
        <v>81</v>
      </c>
      <c r="F127" s="16"/>
      <c r="G127" s="17"/>
      <c r="H127" s="195"/>
      <c r="I127" s="18"/>
      <c r="J127" s="19"/>
      <c r="K127" s="94"/>
      <c r="L127" s="93"/>
    </row>
    <row r="128" spans="1:12" s="5" customFormat="1" ht="31.5" x14ac:dyDescent="0.2">
      <c r="A128" s="133">
        <f t="shared" si="27"/>
        <v>52</v>
      </c>
      <c r="B128" s="15" t="s">
        <v>61</v>
      </c>
      <c r="C128" s="15"/>
      <c r="D128" s="194"/>
      <c r="E128" s="31" t="s">
        <v>77</v>
      </c>
      <c r="F128" s="16">
        <f>27.7*2</f>
        <v>55.4</v>
      </c>
      <c r="G128" s="17">
        <v>0.1</v>
      </c>
      <c r="H128" s="195">
        <f t="shared" si="42"/>
        <v>60.940000000000005</v>
      </c>
      <c r="I128" s="18" t="s">
        <v>24</v>
      </c>
      <c r="J128" s="19">
        <f>J$16</f>
        <v>0</v>
      </c>
      <c r="K128" s="94">
        <f t="shared" si="43"/>
        <v>0</v>
      </c>
      <c r="L128" s="93"/>
    </row>
    <row r="129" spans="1:12" s="5" customFormat="1" x14ac:dyDescent="0.2">
      <c r="A129" s="133" t="str">
        <f t="shared" si="27"/>
        <v/>
      </c>
      <c r="B129" s="15"/>
      <c r="C129" s="15"/>
      <c r="D129" s="194"/>
      <c r="E129" s="208" t="s">
        <v>83</v>
      </c>
      <c r="F129" s="16"/>
      <c r="G129" s="17"/>
      <c r="H129" s="195"/>
      <c r="I129" s="18"/>
      <c r="J129" s="19"/>
      <c r="K129" s="94"/>
      <c r="L129" s="93"/>
    </row>
    <row r="130" spans="1:12" s="5" customFormat="1" ht="31.5" x14ac:dyDescent="0.2">
      <c r="A130" s="133">
        <f t="shared" si="27"/>
        <v>53</v>
      </c>
      <c r="B130" s="15" t="s">
        <v>61</v>
      </c>
      <c r="C130" s="15"/>
      <c r="D130" s="212" t="s">
        <v>84</v>
      </c>
      <c r="E130" s="31" t="s">
        <v>30</v>
      </c>
      <c r="F130" s="16">
        <f>(27.7/4+1)*2*0.5</f>
        <v>7.9249999999999998</v>
      </c>
      <c r="G130" s="17">
        <v>0.1</v>
      </c>
      <c r="H130" s="195">
        <f t="shared" si="42"/>
        <v>8.7175000000000011</v>
      </c>
      <c r="I130" s="18" t="s">
        <v>24</v>
      </c>
      <c r="J130" s="19">
        <f>J$18</f>
        <v>0</v>
      </c>
      <c r="K130" s="94">
        <f t="shared" si="43"/>
        <v>0</v>
      </c>
      <c r="L130" s="93"/>
    </row>
    <row r="131" spans="1:12" s="5" customFormat="1" x14ac:dyDescent="0.2">
      <c r="A131" s="133" t="str">
        <f t="shared" si="27"/>
        <v/>
      </c>
      <c r="B131" s="15"/>
      <c r="C131" s="15"/>
      <c r="D131" s="194"/>
      <c r="E131" s="208" t="s">
        <v>85</v>
      </c>
      <c r="F131" s="16"/>
      <c r="G131" s="17"/>
      <c r="H131" s="195"/>
      <c r="I131" s="18"/>
      <c r="J131" s="19"/>
      <c r="K131" s="94"/>
      <c r="L131" s="93"/>
    </row>
    <row r="132" spans="1:12" s="5" customFormat="1" x14ac:dyDescent="0.2">
      <c r="A132" s="133">
        <f t="shared" si="27"/>
        <v>54</v>
      </c>
      <c r="B132" s="15" t="s">
        <v>61</v>
      </c>
      <c r="C132" s="15"/>
      <c r="D132" s="35"/>
      <c r="E132" s="31" t="s">
        <v>80</v>
      </c>
      <c r="F132" s="16">
        <f>27.7</f>
        <v>27.7</v>
      </c>
      <c r="G132" s="17">
        <v>0.1</v>
      </c>
      <c r="H132" s="195">
        <f t="shared" si="42"/>
        <v>30.470000000000002</v>
      </c>
      <c r="I132" s="18" t="s">
        <v>24</v>
      </c>
      <c r="J132" s="19">
        <f>J$20</f>
        <v>0</v>
      </c>
      <c r="K132" s="94">
        <f t="shared" si="43"/>
        <v>0</v>
      </c>
      <c r="L132" s="93"/>
    </row>
    <row r="133" spans="1:12" s="5" customFormat="1" x14ac:dyDescent="0.2">
      <c r="A133" s="133" t="str">
        <f t="shared" si="27"/>
        <v/>
      </c>
      <c r="B133" s="15"/>
      <c r="C133" s="15"/>
      <c r="D133" s="194"/>
      <c r="E133" s="208" t="s">
        <v>86</v>
      </c>
      <c r="F133" s="16"/>
      <c r="G133" s="17"/>
      <c r="H133" s="195"/>
      <c r="I133" s="18"/>
      <c r="J133" s="19"/>
      <c r="K133" s="94"/>
      <c r="L133" s="93"/>
    </row>
    <row r="134" spans="1:12" s="5" customFormat="1" ht="16.5" thickBot="1" x14ac:dyDescent="0.25">
      <c r="A134" s="133">
        <f t="shared" si="27"/>
        <v>55</v>
      </c>
      <c r="B134" s="15" t="s">
        <v>61</v>
      </c>
      <c r="C134" s="15"/>
      <c r="D134" s="194"/>
      <c r="E134" s="31" t="s">
        <v>74</v>
      </c>
      <c r="F134" s="16">
        <v>360</v>
      </c>
      <c r="G134" s="17">
        <v>0.1</v>
      </c>
      <c r="H134" s="195">
        <f>F134*(1+G134)</f>
        <v>396.00000000000006</v>
      </c>
      <c r="I134" s="18" t="s">
        <v>16</v>
      </c>
      <c r="J134" s="19">
        <f>J$22</f>
        <v>0</v>
      </c>
      <c r="K134" s="94">
        <f>J134*H134</f>
        <v>0</v>
      </c>
      <c r="L134" s="93"/>
    </row>
    <row r="135" spans="1:12" s="5" customFormat="1" ht="16.5" thickBot="1" x14ac:dyDescent="0.25">
      <c r="A135" s="133" t="str">
        <f t="shared" si="27"/>
        <v/>
      </c>
      <c r="B135" s="15"/>
      <c r="C135" s="189"/>
      <c r="D135" s="190"/>
      <c r="E135" s="211" t="s">
        <v>103</v>
      </c>
      <c r="F135" s="192"/>
      <c r="G135" s="193"/>
      <c r="H135" s="29"/>
      <c r="I135" s="30"/>
      <c r="J135" s="19"/>
      <c r="K135" s="94"/>
      <c r="L135" s="93"/>
    </row>
    <row r="136" spans="1:12" s="5" customFormat="1" x14ac:dyDescent="0.2">
      <c r="A136" s="133" t="str">
        <f t="shared" si="27"/>
        <v/>
      </c>
      <c r="B136" s="188"/>
      <c r="C136" s="189"/>
      <c r="D136" s="190"/>
      <c r="E136" s="208" t="s">
        <v>82</v>
      </c>
      <c r="F136" s="192"/>
      <c r="G136" s="193"/>
      <c r="H136" s="29"/>
      <c r="I136" s="30"/>
      <c r="J136" s="19"/>
      <c r="K136" s="94"/>
      <c r="L136" s="93"/>
    </row>
    <row r="137" spans="1:12" s="5" customFormat="1" ht="47.25" x14ac:dyDescent="0.2">
      <c r="A137" s="133">
        <f t="shared" si="27"/>
        <v>56</v>
      </c>
      <c r="B137" s="15" t="s">
        <v>61</v>
      </c>
      <c r="C137" s="15" t="s">
        <v>42</v>
      </c>
      <c r="D137" s="194"/>
      <c r="E137" s="31" t="s">
        <v>122</v>
      </c>
      <c r="F137" s="16">
        <f>26.9*13</f>
        <v>349.7</v>
      </c>
      <c r="G137" s="17">
        <v>0.1</v>
      </c>
      <c r="H137" s="195">
        <f t="shared" si="42"/>
        <v>384.67</v>
      </c>
      <c r="I137" s="18" t="s">
        <v>16</v>
      </c>
      <c r="J137" s="104">
        <v>0</v>
      </c>
      <c r="K137" s="94">
        <f t="shared" si="43"/>
        <v>0</v>
      </c>
      <c r="L137" s="93"/>
    </row>
    <row r="138" spans="1:12" s="5" customFormat="1" x14ac:dyDescent="0.2">
      <c r="A138" s="133" t="str">
        <f t="shared" si="27"/>
        <v/>
      </c>
      <c r="B138" s="15"/>
      <c r="C138" s="15"/>
      <c r="D138" s="194"/>
      <c r="E138" s="208" t="s">
        <v>81</v>
      </c>
      <c r="F138" s="16"/>
      <c r="G138" s="17"/>
      <c r="H138" s="195"/>
      <c r="I138" s="18"/>
      <c r="J138" s="19"/>
      <c r="K138" s="94"/>
      <c r="L138" s="93"/>
    </row>
    <row r="139" spans="1:12" s="5" customFormat="1" ht="31.5" x14ac:dyDescent="0.2">
      <c r="A139" s="133">
        <f t="shared" si="27"/>
        <v>57</v>
      </c>
      <c r="B139" s="15" t="s">
        <v>61</v>
      </c>
      <c r="C139" s="15"/>
      <c r="D139" s="194"/>
      <c r="E139" s="31" t="s">
        <v>77</v>
      </c>
      <c r="F139" s="16">
        <f>16.9*2</f>
        <v>33.799999999999997</v>
      </c>
      <c r="G139" s="17">
        <v>0.1</v>
      </c>
      <c r="H139" s="195">
        <f t="shared" ref="H139" si="44">F139*(1+G139)</f>
        <v>37.18</v>
      </c>
      <c r="I139" s="18" t="s">
        <v>24</v>
      </c>
      <c r="J139" s="19">
        <f>J$16</f>
        <v>0</v>
      </c>
      <c r="K139" s="94">
        <f t="shared" ref="K139" si="45">J139*H139</f>
        <v>0</v>
      </c>
      <c r="L139" s="93"/>
    </row>
    <row r="140" spans="1:12" s="5" customFormat="1" x14ac:dyDescent="0.2">
      <c r="A140" s="133" t="str">
        <f t="shared" si="27"/>
        <v/>
      </c>
      <c r="B140" s="15"/>
      <c r="C140" s="15"/>
      <c r="D140" s="194"/>
      <c r="E140" s="208" t="s">
        <v>83</v>
      </c>
      <c r="F140" s="16"/>
      <c r="G140" s="17"/>
      <c r="H140" s="195"/>
      <c r="I140" s="18"/>
      <c r="J140" s="19"/>
      <c r="K140" s="94"/>
      <c r="L140" s="93"/>
    </row>
    <row r="141" spans="1:12" s="5" customFormat="1" ht="31.5" x14ac:dyDescent="0.2">
      <c r="A141" s="133">
        <f t="shared" si="27"/>
        <v>58</v>
      </c>
      <c r="B141" s="15" t="s">
        <v>61</v>
      </c>
      <c r="C141" s="15"/>
      <c r="D141" s="212" t="s">
        <v>84</v>
      </c>
      <c r="E141" s="31" t="s">
        <v>30</v>
      </c>
      <c r="F141" s="16">
        <f>(26.9/4+1)*2*0.5</f>
        <v>7.7249999999999996</v>
      </c>
      <c r="G141" s="17">
        <v>0.1</v>
      </c>
      <c r="H141" s="195">
        <f t="shared" ref="H141" si="46">F141*(1+G141)</f>
        <v>8.4975000000000005</v>
      </c>
      <c r="I141" s="18" t="s">
        <v>24</v>
      </c>
      <c r="J141" s="19">
        <f>J$18</f>
        <v>0</v>
      </c>
      <c r="K141" s="94">
        <f t="shared" ref="K141" si="47">J141*H141</f>
        <v>0</v>
      </c>
      <c r="L141" s="93"/>
    </row>
    <row r="142" spans="1:12" s="5" customFormat="1" x14ac:dyDescent="0.2">
      <c r="A142" s="133" t="str">
        <f t="shared" si="27"/>
        <v/>
      </c>
      <c r="B142" s="15"/>
      <c r="C142" s="15"/>
      <c r="D142" s="194"/>
      <c r="E142" s="208" t="s">
        <v>85</v>
      </c>
      <c r="F142" s="16"/>
      <c r="G142" s="17"/>
      <c r="H142" s="195"/>
      <c r="I142" s="18"/>
      <c r="J142" s="19"/>
      <c r="K142" s="94"/>
      <c r="L142" s="93"/>
    </row>
    <row r="143" spans="1:12" s="5" customFormat="1" x14ac:dyDescent="0.2">
      <c r="A143" s="133">
        <f t="shared" ref="A143:A206" si="48">IF(F143&lt;&gt;"",1+MAX(A130:A142),"")</f>
        <v>59</v>
      </c>
      <c r="B143" s="15" t="s">
        <v>61</v>
      </c>
      <c r="C143" s="15"/>
      <c r="D143" s="35"/>
      <c r="E143" s="31" t="s">
        <v>80</v>
      </c>
      <c r="F143" s="16">
        <f>26.9</f>
        <v>26.9</v>
      </c>
      <c r="G143" s="17">
        <v>0.1</v>
      </c>
      <c r="H143" s="195">
        <f t="shared" ref="H143" si="49">F143*(1+G143)</f>
        <v>29.59</v>
      </c>
      <c r="I143" s="18" t="s">
        <v>24</v>
      </c>
      <c r="J143" s="19">
        <f>J$20</f>
        <v>0</v>
      </c>
      <c r="K143" s="94">
        <f t="shared" ref="K143" si="50">J143*H143</f>
        <v>0</v>
      </c>
      <c r="L143" s="93"/>
    </row>
    <row r="144" spans="1:12" s="5" customFormat="1" x14ac:dyDescent="0.2">
      <c r="A144" s="133" t="str">
        <f t="shared" si="48"/>
        <v/>
      </c>
      <c r="B144" s="15"/>
      <c r="C144" s="15"/>
      <c r="D144" s="194"/>
      <c r="E144" s="208" t="s">
        <v>86</v>
      </c>
      <c r="F144" s="16"/>
      <c r="G144" s="17"/>
      <c r="H144" s="195"/>
      <c r="I144" s="18"/>
      <c r="J144" s="19"/>
      <c r="K144" s="94"/>
      <c r="L144" s="93"/>
    </row>
    <row r="145" spans="1:12" s="5" customFormat="1" ht="16.5" thickBot="1" x14ac:dyDescent="0.25">
      <c r="A145" s="133">
        <f t="shared" si="48"/>
        <v>60</v>
      </c>
      <c r="B145" s="15" t="s">
        <v>61</v>
      </c>
      <c r="C145" s="15"/>
      <c r="D145" s="194"/>
      <c r="E145" s="31" t="s">
        <v>74</v>
      </c>
      <c r="F145" s="16">
        <v>350</v>
      </c>
      <c r="G145" s="17">
        <v>0.1</v>
      </c>
      <c r="H145" s="195">
        <f>F145*(1+G145)</f>
        <v>385.00000000000006</v>
      </c>
      <c r="I145" s="18" t="s">
        <v>16</v>
      </c>
      <c r="J145" s="19">
        <f>J$22</f>
        <v>0</v>
      </c>
      <c r="K145" s="94">
        <f>J145*H145</f>
        <v>0</v>
      </c>
      <c r="L145" s="93"/>
    </row>
    <row r="146" spans="1:12" s="5" customFormat="1" ht="16.5" thickBot="1" x14ac:dyDescent="0.25">
      <c r="A146" s="133" t="str">
        <f t="shared" si="48"/>
        <v/>
      </c>
      <c r="B146" s="15"/>
      <c r="C146" s="189"/>
      <c r="D146" s="190"/>
      <c r="E146" s="211" t="s">
        <v>102</v>
      </c>
      <c r="F146" s="192"/>
      <c r="G146" s="193"/>
      <c r="H146" s="29"/>
      <c r="I146" s="30"/>
      <c r="J146" s="19"/>
      <c r="K146" s="94"/>
      <c r="L146" s="93"/>
    </row>
    <row r="147" spans="1:12" s="5" customFormat="1" x14ac:dyDescent="0.2">
      <c r="A147" s="133" t="str">
        <f t="shared" si="48"/>
        <v/>
      </c>
      <c r="B147" s="188"/>
      <c r="C147" s="189"/>
      <c r="D147" s="190"/>
      <c r="E147" s="208" t="s">
        <v>82</v>
      </c>
      <c r="F147" s="192"/>
      <c r="G147" s="193"/>
      <c r="H147" s="29"/>
      <c r="I147" s="30"/>
      <c r="J147" s="19"/>
      <c r="K147" s="94"/>
      <c r="L147" s="93"/>
    </row>
    <row r="148" spans="1:12" s="5" customFormat="1" ht="47.25" x14ac:dyDescent="0.2">
      <c r="A148" s="133">
        <f t="shared" si="48"/>
        <v>61</v>
      </c>
      <c r="B148" s="15" t="s">
        <v>61</v>
      </c>
      <c r="C148" s="15" t="s">
        <v>43</v>
      </c>
      <c r="D148" s="194"/>
      <c r="E148" s="31" t="s">
        <v>122</v>
      </c>
      <c r="F148" s="16">
        <f>26.9*13</f>
        <v>349.7</v>
      </c>
      <c r="G148" s="17">
        <v>0.1</v>
      </c>
      <c r="H148" s="195">
        <f t="shared" si="42"/>
        <v>384.67</v>
      </c>
      <c r="I148" s="18" t="s">
        <v>16</v>
      </c>
      <c r="J148" s="19">
        <f>J$137</f>
        <v>0</v>
      </c>
      <c r="K148" s="94">
        <f t="shared" si="43"/>
        <v>0</v>
      </c>
      <c r="L148" s="93"/>
    </row>
    <row r="149" spans="1:12" s="5" customFormat="1" x14ac:dyDescent="0.2">
      <c r="A149" s="133" t="str">
        <f t="shared" si="48"/>
        <v/>
      </c>
      <c r="B149" s="15"/>
      <c r="C149" s="15"/>
      <c r="D149" s="194"/>
      <c r="E149" s="208" t="s">
        <v>81</v>
      </c>
      <c r="F149" s="16"/>
      <c r="G149" s="17"/>
      <c r="H149" s="195"/>
      <c r="I149" s="18"/>
      <c r="J149" s="19"/>
      <c r="K149" s="94"/>
      <c r="L149" s="93"/>
    </row>
    <row r="150" spans="1:12" s="5" customFormat="1" ht="31.5" x14ac:dyDescent="0.2">
      <c r="A150" s="133">
        <f t="shared" si="48"/>
        <v>62</v>
      </c>
      <c r="B150" s="15" t="s">
        <v>61</v>
      </c>
      <c r="C150" s="15"/>
      <c r="D150" s="194"/>
      <c r="E150" s="31" t="s">
        <v>77</v>
      </c>
      <c r="F150" s="16">
        <f>16.9*2</f>
        <v>33.799999999999997</v>
      </c>
      <c r="G150" s="17">
        <v>0.1</v>
      </c>
      <c r="H150" s="195">
        <f t="shared" ref="H150" si="51">F150*(1+G150)</f>
        <v>37.18</v>
      </c>
      <c r="I150" s="18" t="s">
        <v>24</v>
      </c>
      <c r="J150" s="19">
        <f>J$16</f>
        <v>0</v>
      </c>
      <c r="K150" s="94">
        <f t="shared" ref="K150" si="52">J150*H150</f>
        <v>0</v>
      </c>
      <c r="L150" s="93"/>
    </row>
    <row r="151" spans="1:12" s="5" customFormat="1" x14ac:dyDescent="0.2">
      <c r="A151" s="133" t="str">
        <f t="shared" si="48"/>
        <v/>
      </c>
      <c r="B151" s="15"/>
      <c r="C151" s="15"/>
      <c r="D151" s="194"/>
      <c r="E151" s="208" t="s">
        <v>83</v>
      </c>
      <c r="F151" s="16"/>
      <c r="G151" s="17"/>
      <c r="H151" s="195"/>
      <c r="I151" s="18"/>
      <c r="J151" s="19"/>
      <c r="K151" s="94"/>
      <c r="L151" s="93"/>
    </row>
    <row r="152" spans="1:12" s="5" customFormat="1" ht="31.5" x14ac:dyDescent="0.2">
      <c r="A152" s="133">
        <f t="shared" si="48"/>
        <v>63</v>
      </c>
      <c r="B152" s="15" t="s">
        <v>61</v>
      </c>
      <c r="C152" s="15"/>
      <c r="D152" s="212" t="s">
        <v>84</v>
      </c>
      <c r="E152" s="31" t="s">
        <v>30</v>
      </c>
      <c r="F152" s="16">
        <f>(26.9/4+1)*2*0.5</f>
        <v>7.7249999999999996</v>
      </c>
      <c r="G152" s="17">
        <v>0.1</v>
      </c>
      <c r="H152" s="195">
        <f t="shared" ref="H152" si="53">F152*(1+G152)</f>
        <v>8.4975000000000005</v>
      </c>
      <c r="I152" s="18" t="s">
        <v>24</v>
      </c>
      <c r="J152" s="19">
        <f>J$18</f>
        <v>0</v>
      </c>
      <c r="K152" s="94">
        <f t="shared" ref="K152" si="54">J152*H152</f>
        <v>0</v>
      </c>
      <c r="L152" s="93"/>
    </row>
    <row r="153" spans="1:12" s="5" customFormat="1" x14ac:dyDescent="0.2">
      <c r="A153" s="133" t="str">
        <f t="shared" si="48"/>
        <v/>
      </c>
      <c r="B153" s="15"/>
      <c r="C153" s="15"/>
      <c r="D153" s="194"/>
      <c r="E153" s="208" t="s">
        <v>85</v>
      </c>
      <c r="F153" s="16"/>
      <c r="G153" s="17"/>
      <c r="H153" s="195"/>
      <c r="I153" s="18"/>
      <c r="J153" s="19"/>
      <c r="K153" s="94"/>
      <c r="L153" s="93"/>
    </row>
    <row r="154" spans="1:12" s="5" customFormat="1" x14ac:dyDescent="0.2">
      <c r="A154" s="133">
        <f t="shared" si="48"/>
        <v>64</v>
      </c>
      <c r="B154" s="15" t="s">
        <v>61</v>
      </c>
      <c r="C154" s="15"/>
      <c r="D154" s="35"/>
      <c r="E154" s="31" t="s">
        <v>80</v>
      </c>
      <c r="F154" s="16">
        <f>26.9</f>
        <v>26.9</v>
      </c>
      <c r="G154" s="17">
        <v>0.1</v>
      </c>
      <c r="H154" s="195">
        <f t="shared" ref="H154" si="55">F154*(1+G154)</f>
        <v>29.59</v>
      </c>
      <c r="I154" s="18" t="s">
        <v>24</v>
      </c>
      <c r="J154" s="19">
        <f>J$20</f>
        <v>0</v>
      </c>
      <c r="K154" s="94">
        <f t="shared" ref="K154" si="56">J154*H154</f>
        <v>0</v>
      </c>
      <c r="L154" s="93"/>
    </row>
    <row r="155" spans="1:12" s="5" customFormat="1" x14ac:dyDescent="0.2">
      <c r="A155" s="133" t="str">
        <f t="shared" si="48"/>
        <v/>
      </c>
      <c r="B155" s="15"/>
      <c r="C155" s="15"/>
      <c r="D155" s="194"/>
      <c r="E155" s="208" t="s">
        <v>86</v>
      </c>
      <c r="F155" s="16"/>
      <c r="G155" s="17"/>
      <c r="H155" s="195"/>
      <c r="I155" s="18"/>
      <c r="J155" s="19"/>
      <c r="K155" s="94"/>
      <c r="L155" s="93"/>
    </row>
    <row r="156" spans="1:12" s="5" customFormat="1" ht="16.5" thickBot="1" x14ac:dyDescent="0.25">
      <c r="A156" s="133">
        <f t="shared" si="48"/>
        <v>65</v>
      </c>
      <c r="B156" s="15" t="s">
        <v>61</v>
      </c>
      <c r="C156" s="15"/>
      <c r="D156" s="194"/>
      <c r="E156" s="31" t="s">
        <v>74</v>
      </c>
      <c r="F156" s="16">
        <v>350</v>
      </c>
      <c r="G156" s="17">
        <v>0.1</v>
      </c>
      <c r="H156" s="195">
        <f>F156*(1+G156)</f>
        <v>385.00000000000006</v>
      </c>
      <c r="I156" s="18" t="s">
        <v>16</v>
      </c>
      <c r="J156" s="19">
        <f>J$22</f>
        <v>0</v>
      </c>
      <c r="K156" s="94">
        <f>J156*H156</f>
        <v>0</v>
      </c>
      <c r="L156" s="93"/>
    </row>
    <row r="157" spans="1:12" s="5" customFormat="1" ht="16.5" thickBot="1" x14ac:dyDescent="0.25">
      <c r="A157" s="133" t="str">
        <f t="shared" si="48"/>
        <v/>
      </c>
      <c r="B157" s="15"/>
      <c r="C157" s="189"/>
      <c r="D157" s="190"/>
      <c r="E157" s="211" t="s">
        <v>101</v>
      </c>
      <c r="F157" s="192"/>
      <c r="G157" s="193"/>
      <c r="H157" s="29"/>
      <c r="I157" s="30"/>
      <c r="J157" s="19"/>
      <c r="K157" s="94"/>
      <c r="L157" s="93"/>
    </row>
    <row r="158" spans="1:12" s="5" customFormat="1" x14ac:dyDescent="0.2">
      <c r="A158" s="133" t="str">
        <f t="shared" si="48"/>
        <v/>
      </c>
      <c r="B158" s="188"/>
      <c r="C158" s="189"/>
      <c r="D158" s="190"/>
      <c r="E158" s="208" t="s">
        <v>82</v>
      </c>
      <c r="F158" s="192"/>
      <c r="G158" s="193"/>
      <c r="H158" s="29"/>
      <c r="I158" s="30"/>
      <c r="J158" s="19"/>
      <c r="K158" s="94"/>
      <c r="L158" s="93"/>
    </row>
    <row r="159" spans="1:12" s="5" customFormat="1" ht="47.25" x14ac:dyDescent="0.2">
      <c r="A159" s="133">
        <f t="shared" si="48"/>
        <v>66</v>
      </c>
      <c r="B159" s="15" t="s">
        <v>61</v>
      </c>
      <c r="C159" s="15" t="s">
        <v>44</v>
      </c>
      <c r="D159" s="194"/>
      <c r="E159" s="31" t="s">
        <v>123</v>
      </c>
      <c r="F159" s="16">
        <f>22.3*13</f>
        <v>289.90000000000003</v>
      </c>
      <c r="G159" s="17">
        <v>0.1</v>
      </c>
      <c r="H159" s="195">
        <f t="shared" si="42"/>
        <v>318.89000000000004</v>
      </c>
      <c r="I159" s="18" t="s">
        <v>16</v>
      </c>
      <c r="J159" s="104">
        <v>0</v>
      </c>
      <c r="K159" s="94">
        <f t="shared" si="43"/>
        <v>0</v>
      </c>
      <c r="L159" s="93"/>
    </row>
    <row r="160" spans="1:12" s="5" customFormat="1" x14ac:dyDescent="0.2">
      <c r="A160" s="133" t="str">
        <f t="shared" si="48"/>
        <v/>
      </c>
      <c r="B160" s="15"/>
      <c r="C160" s="15"/>
      <c r="D160" s="194"/>
      <c r="E160" s="208" t="s">
        <v>81</v>
      </c>
      <c r="F160" s="16"/>
      <c r="G160" s="17"/>
      <c r="H160" s="195"/>
      <c r="I160" s="18"/>
      <c r="J160" s="19"/>
      <c r="K160" s="94"/>
      <c r="L160" s="93"/>
    </row>
    <row r="161" spans="1:12" s="5" customFormat="1" ht="31.5" x14ac:dyDescent="0.2">
      <c r="A161" s="133">
        <f t="shared" si="48"/>
        <v>67</v>
      </c>
      <c r="B161" s="15" t="s">
        <v>61</v>
      </c>
      <c r="C161" s="15"/>
      <c r="D161" s="194"/>
      <c r="E161" s="31" t="s">
        <v>77</v>
      </c>
      <c r="F161" s="16">
        <f>22.3*2</f>
        <v>44.6</v>
      </c>
      <c r="G161" s="17">
        <v>0.1</v>
      </c>
      <c r="H161" s="195">
        <f t="shared" ref="H161" si="57">F161*(1+G161)</f>
        <v>49.06</v>
      </c>
      <c r="I161" s="18" t="s">
        <v>24</v>
      </c>
      <c r="J161" s="19">
        <f>J$16</f>
        <v>0</v>
      </c>
      <c r="K161" s="94">
        <f t="shared" ref="K161" si="58">J161*H161</f>
        <v>0</v>
      </c>
      <c r="L161" s="93"/>
    </row>
    <row r="162" spans="1:12" s="5" customFormat="1" x14ac:dyDescent="0.2">
      <c r="A162" s="133" t="str">
        <f t="shared" si="48"/>
        <v/>
      </c>
      <c r="B162" s="15"/>
      <c r="C162" s="15"/>
      <c r="D162" s="194"/>
      <c r="E162" s="208" t="s">
        <v>83</v>
      </c>
      <c r="F162" s="16"/>
      <c r="G162" s="17"/>
      <c r="H162" s="195"/>
      <c r="I162" s="18"/>
      <c r="J162" s="19"/>
      <c r="K162" s="94"/>
      <c r="L162" s="93"/>
    </row>
    <row r="163" spans="1:12" s="5" customFormat="1" ht="31.5" x14ac:dyDescent="0.2">
      <c r="A163" s="133">
        <f t="shared" si="48"/>
        <v>68</v>
      </c>
      <c r="B163" s="15" t="s">
        <v>61</v>
      </c>
      <c r="C163" s="15"/>
      <c r="D163" s="212" t="s">
        <v>84</v>
      </c>
      <c r="E163" s="31" t="s">
        <v>30</v>
      </c>
      <c r="F163" s="16">
        <f>(22.3/4+1)*2*0.5</f>
        <v>6.5750000000000002</v>
      </c>
      <c r="G163" s="17">
        <v>0.1</v>
      </c>
      <c r="H163" s="195">
        <f t="shared" ref="H163" si="59">F163*(1+G163)</f>
        <v>7.2325000000000008</v>
      </c>
      <c r="I163" s="18" t="s">
        <v>24</v>
      </c>
      <c r="J163" s="19">
        <f>J$18</f>
        <v>0</v>
      </c>
      <c r="K163" s="94">
        <f t="shared" ref="K163" si="60">J163*H163</f>
        <v>0</v>
      </c>
      <c r="L163" s="93"/>
    </row>
    <row r="164" spans="1:12" s="5" customFormat="1" x14ac:dyDescent="0.2">
      <c r="A164" s="133" t="str">
        <f t="shared" si="48"/>
        <v/>
      </c>
      <c r="B164" s="15"/>
      <c r="C164" s="15"/>
      <c r="D164" s="194"/>
      <c r="E164" s="208" t="s">
        <v>85</v>
      </c>
      <c r="F164" s="16"/>
      <c r="G164" s="17"/>
      <c r="H164" s="195"/>
      <c r="I164" s="18"/>
      <c r="J164" s="19"/>
      <c r="K164" s="94"/>
      <c r="L164" s="93"/>
    </row>
    <row r="165" spans="1:12" s="5" customFormat="1" x14ac:dyDescent="0.2">
      <c r="A165" s="133">
        <f t="shared" si="48"/>
        <v>69</v>
      </c>
      <c r="B165" s="15" t="s">
        <v>61</v>
      </c>
      <c r="C165" s="15"/>
      <c r="D165" s="35"/>
      <c r="E165" s="31" t="s">
        <v>80</v>
      </c>
      <c r="F165" s="16">
        <f>22.3</f>
        <v>22.3</v>
      </c>
      <c r="G165" s="17">
        <v>0.1</v>
      </c>
      <c r="H165" s="195">
        <f t="shared" ref="H165" si="61">F165*(1+G165)</f>
        <v>24.53</v>
      </c>
      <c r="I165" s="18" t="s">
        <v>24</v>
      </c>
      <c r="J165" s="19">
        <f>J$20</f>
        <v>0</v>
      </c>
      <c r="K165" s="94">
        <f t="shared" ref="K165" si="62">J165*H165</f>
        <v>0</v>
      </c>
      <c r="L165" s="93"/>
    </row>
    <row r="166" spans="1:12" s="5" customFormat="1" x14ac:dyDescent="0.2">
      <c r="A166" s="133" t="str">
        <f t="shared" si="48"/>
        <v/>
      </c>
      <c r="B166" s="15"/>
      <c r="C166" s="15"/>
      <c r="D166" s="194"/>
      <c r="E166" s="208" t="s">
        <v>86</v>
      </c>
      <c r="F166" s="16"/>
      <c r="G166" s="17"/>
      <c r="H166" s="195"/>
      <c r="I166" s="18"/>
      <c r="J166" s="19"/>
      <c r="K166" s="94"/>
      <c r="L166" s="93"/>
    </row>
    <row r="167" spans="1:12" s="5" customFormat="1" ht="16.5" thickBot="1" x14ac:dyDescent="0.25">
      <c r="A167" s="133">
        <f t="shared" si="48"/>
        <v>70</v>
      </c>
      <c r="B167" s="15" t="s">
        <v>61</v>
      </c>
      <c r="C167" s="15"/>
      <c r="D167" s="194"/>
      <c r="E167" s="31" t="s">
        <v>74</v>
      </c>
      <c r="F167" s="16">
        <v>290</v>
      </c>
      <c r="G167" s="17">
        <v>0.1</v>
      </c>
      <c r="H167" s="195">
        <f>F167*(1+G167)</f>
        <v>319</v>
      </c>
      <c r="I167" s="18" t="s">
        <v>16</v>
      </c>
      <c r="J167" s="19">
        <f>J$22</f>
        <v>0</v>
      </c>
      <c r="K167" s="94">
        <f>J167*H167</f>
        <v>0</v>
      </c>
      <c r="L167" s="93"/>
    </row>
    <row r="168" spans="1:12" s="5" customFormat="1" ht="16.5" thickBot="1" x14ac:dyDescent="0.25">
      <c r="A168" s="133" t="str">
        <f t="shared" si="48"/>
        <v/>
      </c>
      <c r="B168" s="15"/>
      <c r="C168" s="189"/>
      <c r="D168" s="190"/>
      <c r="E168" s="211" t="s">
        <v>100</v>
      </c>
      <c r="F168" s="192"/>
      <c r="G168" s="193"/>
      <c r="H168" s="29"/>
      <c r="I168" s="30"/>
      <c r="J168" s="19"/>
      <c r="K168" s="94"/>
      <c r="L168" s="93"/>
    </row>
    <row r="169" spans="1:12" s="5" customFormat="1" x14ac:dyDescent="0.2">
      <c r="A169" s="133" t="str">
        <f t="shared" si="48"/>
        <v/>
      </c>
      <c r="B169" s="188"/>
      <c r="C169" s="189"/>
      <c r="D169" s="190"/>
      <c r="E169" s="208" t="s">
        <v>82</v>
      </c>
      <c r="F169" s="192"/>
      <c r="G169" s="193"/>
      <c r="H169" s="29"/>
      <c r="I169" s="30"/>
      <c r="J169" s="19"/>
      <c r="K169" s="94"/>
      <c r="L169" s="93"/>
    </row>
    <row r="170" spans="1:12" s="5" customFormat="1" ht="47.25" x14ac:dyDescent="0.2">
      <c r="A170" s="133">
        <f t="shared" si="48"/>
        <v>71</v>
      </c>
      <c r="B170" s="15" t="s">
        <v>61</v>
      </c>
      <c r="C170" s="15" t="s">
        <v>45</v>
      </c>
      <c r="D170" s="194"/>
      <c r="E170" s="31" t="s">
        <v>119</v>
      </c>
      <c r="F170" s="16">
        <f>20.9*13</f>
        <v>271.7</v>
      </c>
      <c r="G170" s="17">
        <v>0.1</v>
      </c>
      <c r="H170" s="195">
        <f t="shared" si="42"/>
        <v>298.87</v>
      </c>
      <c r="I170" s="18" t="s">
        <v>16</v>
      </c>
      <c r="J170" s="19">
        <f>J$126</f>
        <v>0</v>
      </c>
      <c r="K170" s="94">
        <f t="shared" si="43"/>
        <v>0</v>
      </c>
      <c r="L170" s="93"/>
    </row>
    <row r="171" spans="1:12" s="5" customFormat="1" x14ac:dyDescent="0.2">
      <c r="A171" s="133" t="str">
        <f t="shared" si="48"/>
        <v/>
      </c>
      <c r="B171" s="15"/>
      <c r="C171" s="15"/>
      <c r="D171" s="194"/>
      <c r="E171" s="208" t="s">
        <v>81</v>
      </c>
      <c r="F171" s="16"/>
      <c r="G171" s="17"/>
      <c r="H171" s="195"/>
      <c r="I171" s="18"/>
      <c r="J171" s="19"/>
      <c r="K171" s="94"/>
      <c r="L171" s="93"/>
    </row>
    <row r="172" spans="1:12" s="5" customFormat="1" ht="31.5" x14ac:dyDescent="0.2">
      <c r="A172" s="133">
        <f t="shared" si="48"/>
        <v>72</v>
      </c>
      <c r="B172" s="15" t="s">
        <v>61</v>
      </c>
      <c r="C172" s="15"/>
      <c r="D172" s="194"/>
      <c r="E172" s="31" t="s">
        <v>77</v>
      </c>
      <c r="F172" s="16">
        <f>20.9*2</f>
        <v>41.8</v>
      </c>
      <c r="G172" s="17">
        <v>0.1</v>
      </c>
      <c r="H172" s="195">
        <f t="shared" ref="H172" si="63">F172*(1+G172)</f>
        <v>45.980000000000004</v>
      </c>
      <c r="I172" s="18" t="s">
        <v>24</v>
      </c>
      <c r="J172" s="19">
        <f>J$16</f>
        <v>0</v>
      </c>
      <c r="K172" s="94">
        <f t="shared" ref="K172" si="64">J172*H172</f>
        <v>0</v>
      </c>
      <c r="L172" s="93"/>
    </row>
    <row r="173" spans="1:12" s="5" customFormat="1" x14ac:dyDescent="0.2">
      <c r="A173" s="133" t="str">
        <f t="shared" si="48"/>
        <v/>
      </c>
      <c r="B173" s="15"/>
      <c r="C173" s="15"/>
      <c r="D173" s="194"/>
      <c r="E173" s="208" t="s">
        <v>83</v>
      </c>
      <c r="F173" s="16"/>
      <c r="G173" s="17"/>
      <c r="H173" s="195"/>
      <c r="I173" s="18"/>
      <c r="J173" s="19"/>
      <c r="K173" s="94"/>
      <c r="L173" s="93"/>
    </row>
    <row r="174" spans="1:12" s="5" customFormat="1" ht="31.5" x14ac:dyDescent="0.2">
      <c r="A174" s="133">
        <f t="shared" si="48"/>
        <v>73</v>
      </c>
      <c r="B174" s="15" t="s">
        <v>61</v>
      </c>
      <c r="C174" s="15"/>
      <c r="D174" s="212" t="s">
        <v>84</v>
      </c>
      <c r="E174" s="31" t="s">
        <v>30</v>
      </c>
      <c r="F174" s="16">
        <f>(20.9/4+1)*2*0.5</f>
        <v>6.2249999999999996</v>
      </c>
      <c r="G174" s="17">
        <v>0.1</v>
      </c>
      <c r="H174" s="195">
        <f t="shared" ref="H174" si="65">F174*(1+G174)</f>
        <v>6.8475000000000001</v>
      </c>
      <c r="I174" s="18" t="s">
        <v>24</v>
      </c>
      <c r="J174" s="19">
        <f>J$18</f>
        <v>0</v>
      </c>
      <c r="K174" s="94">
        <f t="shared" ref="K174" si="66">J174*H174</f>
        <v>0</v>
      </c>
      <c r="L174" s="93"/>
    </row>
    <row r="175" spans="1:12" s="5" customFormat="1" x14ac:dyDescent="0.2">
      <c r="A175" s="133" t="str">
        <f t="shared" si="48"/>
        <v/>
      </c>
      <c r="B175" s="15"/>
      <c r="C175" s="15"/>
      <c r="D175" s="194"/>
      <c r="E175" s="208" t="s">
        <v>85</v>
      </c>
      <c r="F175" s="16"/>
      <c r="G175" s="17"/>
      <c r="H175" s="195"/>
      <c r="I175" s="18"/>
      <c r="J175" s="19"/>
      <c r="K175" s="94"/>
      <c r="L175" s="93"/>
    </row>
    <row r="176" spans="1:12" s="5" customFormat="1" x14ac:dyDescent="0.2">
      <c r="A176" s="133">
        <f t="shared" si="48"/>
        <v>74</v>
      </c>
      <c r="B176" s="15" t="s">
        <v>61</v>
      </c>
      <c r="C176" s="15"/>
      <c r="D176" s="35"/>
      <c r="E176" s="31" t="s">
        <v>80</v>
      </c>
      <c r="F176" s="16">
        <f>29.3</f>
        <v>29.3</v>
      </c>
      <c r="G176" s="17">
        <v>0.1</v>
      </c>
      <c r="H176" s="195">
        <f t="shared" ref="H176" si="67">F176*(1+G176)</f>
        <v>32.230000000000004</v>
      </c>
      <c r="I176" s="18" t="s">
        <v>24</v>
      </c>
      <c r="J176" s="19">
        <f>J$20</f>
        <v>0</v>
      </c>
      <c r="K176" s="94">
        <f t="shared" ref="K176" si="68">J176*H176</f>
        <v>0</v>
      </c>
      <c r="L176" s="93"/>
    </row>
    <row r="177" spans="1:12" s="5" customFormat="1" x14ac:dyDescent="0.2">
      <c r="A177" s="133" t="str">
        <f t="shared" si="48"/>
        <v/>
      </c>
      <c r="B177" s="15"/>
      <c r="C177" s="15"/>
      <c r="D177" s="194"/>
      <c r="E177" s="208" t="s">
        <v>86</v>
      </c>
      <c r="F177" s="16"/>
      <c r="G177" s="17"/>
      <c r="H177" s="195"/>
      <c r="I177" s="18"/>
      <c r="J177" s="19"/>
      <c r="K177" s="94"/>
      <c r="L177" s="93"/>
    </row>
    <row r="178" spans="1:12" s="5" customFormat="1" ht="16.5" thickBot="1" x14ac:dyDescent="0.25">
      <c r="A178" s="133">
        <f t="shared" si="48"/>
        <v>75</v>
      </c>
      <c r="B178" s="15" t="s">
        <v>61</v>
      </c>
      <c r="C178" s="15"/>
      <c r="D178" s="194"/>
      <c r="E178" s="31" t="s">
        <v>74</v>
      </c>
      <c r="F178" s="16">
        <v>272</v>
      </c>
      <c r="G178" s="17">
        <v>0.1</v>
      </c>
      <c r="H178" s="195">
        <f>F178*(1+G178)</f>
        <v>299.20000000000005</v>
      </c>
      <c r="I178" s="18" t="s">
        <v>16</v>
      </c>
      <c r="J178" s="19">
        <f>J$22</f>
        <v>0</v>
      </c>
      <c r="K178" s="94">
        <f>J178*H178</f>
        <v>0</v>
      </c>
      <c r="L178" s="93"/>
    </row>
    <row r="179" spans="1:12" s="5" customFormat="1" ht="16.5" thickBot="1" x14ac:dyDescent="0.25">
      <c r="A179" s="133" t="str">
        <f t="shared" si="48"/>
        <v/>
      </c>
      <c r="B179" s="15"/>
      <c r="C179" s="189"/>
      <c r="D179" s="190"/>
      <c r="E179" s="211" t="s">
        <v>99</v>
      </c>
      <c r="F179" s="192"/>
      <c r="G179" s="193"/>
      <c r="H179" s="29"/>
      <c r="I179" s="30"/>
      <c r="J179" s="19"/>
      <c r="K179" s="94"/>
      <c r="L179" s="93"/>
    </row>
    <row r="180" spans="1:12" s="5" customFormat="1" x14ac:dyDescent="0.2">
      <c r="A180" s="133" t="str">
        <f t="shared" si="48"/>
        <v/>
      </c>
      <c r="B180" s="188"/>
      <c r="C180" s="189"/>
      <c r="D180" s="190"/>
      <c r="E180" s="208" t="s">
        <v>82</v>
      </c>
      <c r="F180" s="192"/>
      <c r="G180" s="193"/>
      <c r="H180" s="29"/>
      <c r="I180" s="30"/>
      <c r="J180" s="19"/>
      <c r="K180" s="94"/>
      <c r="L180" s="93"/>
    </row>
    <row r="181" spans="1:12" s="5" customFormat="1" ht="47.25" x14ac:dyDescent="0.2">
      <c r="A181" s="133">
        <f t="shared" si="48"/>
        <v>76</v>
      </c>
      <c r="B181" s="15" t="s">
        <v>61</v>
      </c>
      <c r="C181" s="15" t="s">
        <v>46</v>
      </c>
      <c r="D181" s="194"/>
      <c r="E181" s="31" t="s">
        <v>119</v>
      </c>
      <c r="F181" s="16">
        <f>22.3*13</f>
        <v>289.90000000000003</v>
      </c>
      <c r="G181" s="17">
        <v>0.1</v>
      </c>
      <c r="H181" s="195">
        <f t="shared" si="42"/>
        <v>318.89000000000004</v>
      </c>
      <c r="I181" s="18" t="s">
        <v>16</v>
      </c>
      <c r="J181" s="19">
        <f>J$126</f>
        <v>0</v>
      </c>
      <c r="K181" s="94">
        <f t="shared" si="43"/>
        <v>0</v>
      </c>
      <c r="L181" s="93"/>
    </row>
    <row r="182" spans="1:12" s="5" customFormat="1" x14ac:dyDescent="0.2">
      <c r="A182" s="133" t="str">
        <f t="shared" si="48"/>
        <v/>
      </c>
      <c r="B182" s="15"/>
      <c r="C182" s="15"/>
      <c r="D182" s="194"/>
      <c r="E182" s="208" t="s">
        <v>81</v>
      </c>
      <c r="F182" s="16"/>
      <c r="G182" s="17"/>
      <c r="H182" s="195"/>
      <c r="I182" s="18"/>
      <c r="J182" s="19"/>
      <c r="K182" s="94"/>
      <c r="L182" s="93"/>
    </row>
    <row r="183" spans="1:12" s="5" customFormat="1" ht="31.5" x14ac:dyDescent="0.2">
      <c r="A183" s="133">
        <f t="shared" si="48"/>
        <v>77</v>
      </c>
      <c r="B183" s="15" t="s">
        <v>61</v>
      </c>
      <c r="C183" s="15"/>
      <c r="D183" s="194"/>
      <c r="E183" s="31" t="s">
        <v>77</v>
      </c>
      <c r="F183" s="16">
        <f>22.3*2</f>
        <v>44.6</v>
      </c>
      <c r="G183" s="17">
        <v>0.1</v>
      </c>
      <c r="H183" s="195">
        <f t="shared" ref="H183" si="69">F183*(1+G183)</f>
        <v>49.06</v>
      </c>
      <c r="I183" s="18" t="s">
        <v>24</v>
      </c>
      <c r="J183" s="19">
        <f>J$16</f>
        <v>0</v>
      </c>
      <c r="K183" s="94">
        <f t="shared" ref="K183" si="70">J183*H183</f>
        <v>0</v>
      </c>
      <c r="L183" s="93"/>
    </row>
    <row r="184" spans="1:12" s="5" customFormat="1" x14ac:dyDescent="0.2">
      <c r="A184" s="133" t="str">
        <f t="shared" si="48"/>
        <v/>
      </c>
      <c r="B184" s="15"/>
      <c r="C184" s="15"/>
      <c r="D184" s="194"/>
      <c r="E184" s="208" t="s">
        <v>83</v>
      </c>
      <c r="F184" s="16"/>
      <c r="G184" s="17"/>
      <c r="H184" s="195"/>
      <c r="I184" s="18"/>
      <c r="J184" s="19"/>
      <c r="K184" s="94"/>
      <c r="L184" s="93"/>
    </row>
    <row r="185" spans="1:12" s="5" customFormat="1" ht="31.5" x14ac:dyDescent="0.2">
      <c r="A185" s="133">
        <f t="shared" si="48"/>
        <v>78</v>
      </c>
      <c r="B185" s="15" t="s">
        <v>61</v>
      </c>
      <c r="C185" s="15"/>
      <c r="D185" s="212" t="s">
        <v>84</v>
      </c>
      <c r="E185" s="31" t="s">
        <v>30</v>
      </c>
      <c r="F185" s="16">
        <f>(22.3/4+1)*2*0.5</f>
        <v>6.5750000000000002</v>
      </c>
      <c r="G185" s="17">
        <v>0.1</v>
      </c>
      <c r="H185" s="195">
        <f t="shared" ref="H185" si="71">F185*(1+G185)</f>
        <v>7.2325000000000008</v>
      </c>
      <c r="I185" s="18" t="s">
        <v>24</v>
      </c>
      <c r="J185" s="19">
        <f>J$18</f>
        <v>0</v>
      </c>
      <c r="K185" s="94">
        <f t="shared" ref="K185" si="72">J185*H185</f>
        <v>0</v>
      </c>
      <c r="L185" s="93"/>
    </row>
    <row r="186" spans="1:12" s="5" customFormat="1" x14ac:dyDescent="0.2">
      <c r="A186" s="133" t="str">
        <f t="shared" si="48"/>
        <v/>
      </c>
      <c r="B186" s="15"/>
      <c r="C186" s="15"/>
      <c r="D186" s="194"/>
      <c r="E186" s="208" t="s">
        <v>85</v>
      </c>
      <c r="F186" s="16"/>
      <c r="G186" s="17"/>
      <c r="H186" s="195"/>
      <c r="I186" s="18"/>
      <c r="J186" s="19"/>
      <c r="K186" s="94"/>
      <c r="L186" s="93"/>
    </row>
    <row r="187" spans="1:12" s="5" customFormat="1" x14ac:dyDescent="0.2">
      <c r="A187" s="133">
        <f t="shared" si="48"/>
        <v>79</v>
      </c>
      <c r="B187" s="15" t="s">
        <v>61</v>
      </c>
      <c r="C187" s="15"/>
      <c r="D187" s="35"/>
      <c r="E187" s="31" t="s">
        <v>80</v>
      </c>
      <c r="F187" s="16">
        <f>22.3</f>
        <v>22.3</v>
      </c>
      <c r="G187" s="17">
        <v>0.1</v>
      </c>
      <c r="H187" s="195">
        <f t="shared" ref="H187" si="73">F187*(1+G187)</f>
        <v>24.53</v>
      </c>
      <c r="I187" s="18" t="s">
        <v>24</v>
      </c>
      <c r="J187" s="19">
        <f>J$20</f>
        <v>0</v>
      </c>
      <c r="K187" s="94">
        <f t="shared" ref="K187" si="74">J187*H187</f>
        <v>0</v>
      </c>
      <c r="L187" s="93"/>
    </row>
    <row r="188" spans="1:12" s="5" customFormat="1" x14ac:dyDescent="0.2">
      <c r="A188" s="133" t="str">
        <f t="shared" si="48"/>
        <v/>
      </c>
      <c r="B188" s="15"/>
      <c r="C188" s="15"/>
      <c r="D188" s="194"/>
      <c r="E188" s="208" t="s">
        <v>86</v>
      </c>
      <c r="F188" s="16"/>
      <c r="G188" s="17"/>
      <c r="H188" s="195"/>
      <c r="I188" s="18"/>
      <c r="J188" s="19"/>
      <c r="K188" s="94"/>
      <c r="L188" s="93"/>
    </row>
    <row r="189" spans="1:12" s="5" customFormat="1" ht="16.5" thickBot="1" x14ac:dyDescent="0.25">
      <c r="A189" s="133">
        <f t="shared" si="48"/>
        <v>80</v>
      </c>
      <c r="B189" s="15" t="s">
        <v>61</v>
      </c>
      <c r="C189" s="15"/>
      <c r="D189" s="194"/>
      <c r="E189" s="31" t="s">
        <v>74</v>
      </c>
      <c r="F189" s="16">
        <v>290</v>
      </c>
      <c r="G189" s="17">
        <v>0.1</v>
      </c>
      <c r="H189" s="195">
        <f>F189*(1+G189)</f>
        <v>319</v>
      </c>
      <c r="I189" s="18" t="s">
        <v>16</v>
      </c>
      <c r="J189" s="19">
        <f>J$22</f>
        <v>0</v>
      </c>
      <c r="K189" s="94">
        <f>J189*H189</f>
        <v>0</v>
      </c>
      <c r="L189" s="93"/>
    </row>
    <row r="190" spans="1:12" s="5" customFormat="1" ht="16.5" thickBot="1" x14ac:dyDescent="0.25">
      <c r="A190" s="133" t="str">
        <f t="shared" si="48"/>
        <v/>
      </c>
      <c r="B190" s="188"/>
      <c r="C190" s="189"/>
      <c r="D190" s="190"/>
      <c r="E190" s="211" t="s">
        <v>117</v>
      </c>
      <c r="F190" s="192"/>
      <c r="G190" s="193"/>
      <c r="H190" s="29"/>
      <c r="I190" s="30"/>
      <c r="J190" s="19"/>
      <c r="K190" s="94"/>
      <c r="L190" s="93"/>
    </row>
    <row r="191" spans="1:12" s="5" customFormat="1" x14ac:dyDescent="0.2">
      <c r="A191" s="133" t="str">
        <f t="shared" si="48"/>
        <v/>
      </c>
      <c r="B191" s="15"/>
      <c r="C191" s="15"/>
      <c r="D191" s="194"/>
      <c r="E191" s="208" t="s">
        <v>82</v>
      </c>
      <c r="F191" s="16"/>
      <c r="G191" s="17"/>
      <c r="H191" s="195"/>
      <c r="I191" s="18"/>
      <c r="J191" s="19"/>
      <c r="K191" s="94"/>
      <c r="L191" s="93"/>
    </row>
    <row r="192" spans="1:12" s="5" customFormat="1" ht="47.25" x14ac:dyDescent="0.2">
      <c r="A192" s="133">
        <f t="shared" si="48"/>
        <v>81</v>
      </c>
      <c r="B192" s="15" t="s">
        <v>60</v>
      </c>
      <c r="C192" s="15" t="s">
        <v>118</v>
      </c>
      <c r="D192" s="194"/>
      <c r="E192" s="31" t="s">
        <v>124</v>
      </c>
      <c r="F192" s="16">
        <f>23.4*13</f>
        <v>304.2</v>
      </c>
      <c r="G192" s="17">
        <v>0.1</v>
      </c>
      <c r="H192" s="195">
        <f t="shared" ref="H192" si="75">F192*(1+G192)</f>
        <v>334.62</v>
      </c>
      <c r="I192" s="18" t="s">
        <v>16</v>
      </c>
      <c r="J192" s="19">
        <f>J$126</f>
        <v>0</v>
      </c>
      <c r="K192" s="94">
        <f t="shared" ref="K192" si="76">J192*H192</f>
        <v>0</v>
      </c>
      <c r="L192" s="93"/>
    </row>
    <row r="193" spans="1:12" s="5" customFormat="1" x14ac:dyDescent="0.2">
      <c r="A193" s="133" t="str">
        <f t="shared" si="48"/>
        <v/>
      </c>
      <c r="B193" s="15"/>
      <c r="C193" s="15"/>
      <c r="D193" s="194"/>
      <c r="E193" s="208" t="s">
        <v>81</v>
      </c>
      <c r="F193" s="16"/>
      <c r="G193" s="17"/>
      <c r="H193" s="195"/>
      <c r="I193" s="18"/>
      <c r="J193" s="19"/>
      <c r="K193" s="94"/>
      <c r="L193" s="93"/>
    </row>
    <row r="194" spans="1:12" s="5" customFormat="1" ht="31.5" x14ac:dyDescent="0.2">
      <c r="A194" s="133">
        <f t="shared" si="48"/>
        <v>82</v>
      </c>
      <c r="B194" s="15" t="s">
        <v>60</v>
      </c>
      <c r="C194" s="15"/>
      <c r="D194" s="194"/>
      <c r="E194" s="31" t="s">
        <v>77</v>
      </c>
      <c r="F194" s="16">
        <f>23.4*2</f>
        <v>46.8</v>
      </c>
      <c r="G194" s="17">
        <v>0.1</v>
      </c>
      <c r="H194" s="195">
        <f t="shared" ref="H194" si="77">F194*(1+G194)</f>
        <v>51.480000000000004</v>
      </c>
      <c r="I194" s="18" t="s">
        <v>24</v>
      </c>
      <c r="J194" s="19">
        <f>J$16</f>
        <v>0</v>
      </c>
      <c r="K194" s="94">
        <f t="shared" ref="K194" si="78">J194*H194</f>
        <v>0</v>
      </c>
      <c r="L194" s="93"/>
    </row>
    <row r="195" spans="1:12" s="5" customFormat="1" x14ac:dyDescent="0.2">
      <c r="A195" s="133" t="str">
        <f t="shared" si="48"/>
        <v/>
      </c>
      <c r="B195" s="15"/>
      <c r="C195" s="15"/>
      <c r="D195" s="194"/>
      <c r="E195" s="208" t="s">
        <v>83</v>
      </c>
      <c r="F195" s="16"/>
      <c r="G195" s="17"/>
      <c r="H195" s="195"/>
      <c r="I195" s="18"/>
      <c r="J195" s="19"/>
      <c r="K195" s="94"/>
      <c r="L195" s="93"/>
    </row>
    <row r="196" spans="1:12" s="5" customFormat="1" ht="31.5" x14ac:dyDescent="0.2">
      <c r="A196" s="133">
        <f t="shared" si="48"/>
        <v>83</v>
      </c>
      <c r="B196" s="15" t="s">
        <v>60</v>
      </c>
      <c r="C196" s="15"/>
      <c r="D196" s="212" t="s">
        <v>84</v>
      </c>
      <c r="E196" s="31" t="s">
        <v>30</v>
      </c>
      <c r="F196" s="16">
        <f>(23.4/4+1)*2*0.5</f>
        <v>6.85</v>
      </c>
      <c r="G196" s="17">
        <v>0.1</v>
      </c>
      <c r="H196" s="195">
        <f t="shared" ref="H196" si="79">F196*(1+G196)</f>
        <v>7.5350000000000001</v>
      </c>
      <c r="I196" s="18" t="s">
        <v>24</v>
      </c>
      <c r="J196" s="19">
        <f>J$18</f>
        <v>0</v>
      </c>
      <c r="K196" s="94">
        <f t="shared" ref="K196" si="80">J196*H196</f>
        <v>0</v>
      </c>
      <c r="L196" s="93"/>
    </row>
    <row r="197" spans="1:12" s="5" customFormat="1" x14ac:dyDescent="0.2">
      <c r="A197" s="133" t="str">
        <f t="shared" si="48"/>
        <v/>
      </c>
      <c r="B197" s="15"/>
      <c r="C197" s="15"/>
      <c r="D197" s="194"/>
      <c r="E197" s="208" t="s">
        <v>85</v>
      </c>
      <c r="F197" s="16"/>
      <c r="G197" s="17"/>
      <c r="H197" s="195"/>
      <c r="I197" s="18"/>
      <c r="J197" s="19"/>
      <c r="K197" s="94"/>
      <c r="L197" s="93"/>
    </row>
    <row r="198" spans="1:12" s="5" customFormat="1" x14ac:dyDescent="0.2">
      <c r="A198" s="133">
        <f t="shared" si="48"/>
        <v>84</v>
      </c>
      <c r="B198" s="15" t="s">
        <v>60</v>
      </c>
      <c r="C198" s="15"/>
      <c r="D198" s="35"/>
      <c r="E198" s="31" t="s">
        <v>80</v>
      </c>
      <c r="F198" s="16">
        <v>23.4</v>
      </c>
      <c r="G198" s="17">
        <v>0.1</v>
      </c>
      <c r="H198" s="195">
        <f t="shared" ref="H198" si="81">F198*(1+G198)</f>
        <v>25.740000000000002</v>
      </c>
      <c r="I198" s="18" t="s">
        <v>24</v>
      </c>
      <c r="J198" s="19">
        <f>J$20</f>
        <v>0</v>
      </c>
      <c r="K198" s="94">
        <f t="shared" ref="K198" si="82">J198*H198</f>
        <v>0</v>
      </c>
      <c r="L198" s="93"/>
    </row>
    <row r="199" spans="1:12" s="5" customFormat="1" x14ac:dyDescent="0.2">
      <c r="A199" s="133" t="str">
        <f t="shared" si="48"/>
        <v/>
      </c>
      <c r="B199" s="15"/>
      <c r="C199" s="15"/>
      <c r="D199" s="194"/>
      <c r="E199" s="208" t="s">
        <v>86</v>
      </c>
      <c r="F199" s="16"/>
      <c r="G199" s="17"/>
      <c r="H199" s="195"/>
      <c r="I199" s="18"/>
      <c r="J199" s="19"/>
      <c r="K199" s="94"/>
      <c r="L199" s="93"/>
    </row>
    <row r="200" spans="1:12" s="5" customFormat="1" ht="16.5" thickBot="1" x14ac:dyDescent="0.25">
      <c r="A200" s="133">
        <f t="shared" si="48"/>
        <v>85</v>
      </c>
      <c r="B200" s="15" t="s">
        <v>60</v>
      </c>
      <c r="C200" s="15"/>
      <c r="D200" s="194"/>
      <c r="E200" s="31" t="s">
        <v>74</v>
      </c>
      <c r="F200" s="16">
        <v>304</v>
      </c>
      <c r="G200" s="17">
        <v>0.1</v>
      </c>
      <c r="H200" s="195">
        <f>F200*(1+G200)</f>
        <v>334.40000000000003</v>
      </c>
      <c r="I200" s="18" t="s">
        <v>16</v>
      </c>
      <c r="J200" s="19">
        <f>J$22</f>
        <v>0</v>
      </c>
      <c r="K200" s="94">
        <f>J200*H200</f>
        <v>0</v>
      </c>
      <c r="L200" s="93"/>
    </row>
    <row r="201" spans="1:12" s="5" customFormat="1" ht="16.5" thickBot="1" x14ac:dyDescent="0.25">
      <c r="A201" s="133" t="str">
        <f t="shared" si="48"/>
        <v/>
      </c>
      <c r="B201" s="15"/>
      <c r="C201" s="189"/>
      <c r="D201" s="190"/>
      <c r="E201" s="211" t="s">
        <v>98</v>
      </c>
      <c r="F201" s="192"/>
      <c r="G201" s="193"/>
      <c r="H201" s="29"/>
      <c r="I201" s="30"/>
      <c r="J201" s="19"/>
      <c r="K201" s="94"/>
      <c r="L201" s="93"/>
    </row>
    <row r="202" spans="1:12" s="5" customFormat="1" x14ac:dyDescent="0.2">
      <c r="A202" s="133" t="str">
        <f t="shared" si="48"/>
        <v/>
      </c>
      <c r="B202" s="188"/>
      <c r="C202" s="189"/>
      <c r="D202" s="190"/>
      <c r="E202" s="208" t="s">
        <v>82</v>
      </c>
      <c r="F202" s="192"/>
      <c r="G202" s="193"/>
      <c r="H202" s="29"/>
      <c r="I202" s="30"/>
      <c r="J202" s="19"/>
      <c r="K202" s="94"/>
      <c r="L202" s="93"/>
    </row>
    <row r="203" spans="1:12" s="5" customFormat="1" ht="47.25" x14ac:dyDescent="0.2">
      <c r="A203" s="133">
        <f t="shared" si="48"/>
        <v>86</v>
      </c>
      <c r="B203" s="15" t="s">
        <v>61</v>
      </c>
      <c r="C203" s="15" t="s">
        <v>47</v>
      </c>
      <c r="D203" s="194"/>
      <c r="E203" s="31" t="s">
        <v>119</v>
      </c>
      <c r="F203" s="16">
        <f>27.7*13</f>
        <v>360.09999999999997</v>
      </c>
      <c r="G203" s="17">
        <v>0.1</v>
      </c>
      <c r="H203" s="195">
        <f t="shared" si="42"/>
        <v>396.11</v>
      </c>
      <c r="I203" s="18" t="s">
        <v>16</v>
      </c>
      <c r="J203" s="19">
        <f>J$126</f>
        <v>0</v>
      </c>
      <c r="K203" s="94">
        <f t="shared" si="43"/>
        <v>0</v>
      </c>
      <c r="L203" s="93"/>
    </row>
    <row r="204" spans="1:12" s="5" customFormat="1" x14ac:dyDescent="0.2">
      <c r="A204" s="133" t="str">
        <f t="shared" si="48"/>
        <v/>
      </c>
      <c r="B204" s="15"/>
      <c r="C204" s="15"/>
      <c r="D204" s="194"/>
      <c r="E204" s="208" t="s">
        <v>81</v>
      </c>
      <c r="F204" s="16"/>
      <c r="G204" s="17"/>
      <c r="H204" s="195"/>
      <c r="I204" s="18"/>
      <c r="J204" s="19"/>
      <c r="K204" s="94"/>
      <c r="L204" s="93"/>
    </row>
    <row r="205" spans="1:12" s="5" customFormat="1" ht="31.5" x14ac:dyDescent="0.2">
      <c r="A205" s="133">
        <f t="shared" si="48"/>
        <v>87</v>
      </c>
      <c r="B205" s="15" t="s">
        <v>61</v>
      </c>
      <c r="C205" s="15"/>
      <c r="D205" s="194"/>
      <c r="E205" s="31" t="s">
        <v>77</v>
      </c>
      <c r="F205" s="16">
        <f>27.7*2</f>
        <v>55.4</v>
      </c>
      <c r="G205" s="17">
        <v>0.1</v>
      </c>
      <c r="H205" s="195">
        <f t="shared" ref="H205" si="83">F205*(1+G205)</f>
        <v>60.940000000000005</v>
      </c>
      <c r="I205" s="18" t="s">
        <v>24</v>
      </c>
      <c r="J205" s="19">
        <f>J$16</f>
        <v>0</v>
      </c>
      <c r="K205" s="94">
        <f t="shared" ref="K205" si="84">J205*H205</f>
        <v>0</v>
      </c>
      <c r="L205" s="93"/>
    </row>
    <row r="206" spans="1:12" s="5" customFormat="1" x14ac:dyDescent="0.2">
      <c r="A206" s="133" t="str">
        <f t="shared" si="48"/>
        <v/>
      </c>
      <c r="B206" s="15"/>
      <c r="C206" s="15"/>
      <c r="D206" s="194"/>
      <c r="E206" s="208" t="s">
        <v>83</v>
      </c>
      <c r="F206" s="16"/>
      <c r="G206" s="17"/>
      <c r="H206" s="195"/>
      <c r="I206" s="18"/>
      <c r="J206" s="19"/>
      <c r="K206" s="94"/>
      <c r="L206" s="93"/>
    </row>
    <row r="207" spans="1:12" s="5" customFormat="1" ht="31.5" x14ac:dyDescent="0.2">
      <c r="A207" s="133">
        <f t="shared" ref="A207:A270" si="85">IF(F207&lt;&gt;"",1+MAX(A194:A206),"")</f>
        <v>88</v>
      </c>
      <c r="B207" s="15" t="s">
        <v>61</v>
      </c>
      <c r="C207" s="15"/>
      <c r="D207" s="212" t="s">
        <v>84</v>
      </c>
      <c r="E207" s="31" t="s">
        <v>30</v>
      </c>
      <c r="F207" s="16">
        <f>(27.7/4+1)*2*0.5</f>
        <v>7.9249999999999998</v>
      </c>
      <c r="G207" s="17">
        <v>0.1</v>
      </c>
      <c r="H207" s="195">
        <f t="shared" ref="H207" si="86">F207*(1+G207)</f>
        <v>8.7175000000000011</v>
      </c>
      <c r="I207" s="18" t="s">
        <v>24</v>
      </c>
      <c r="J207" s="19">
        <f>J$18</f>
        <v>0</v>
      </c>
      <c r="K207" s="94">
        <f t="shared" ref="K207" si="87">J207*H207</f>
        <v>0</v>
      </c>
      <c r="L207" s="93"/>
    </row>
    <row r="208" spans="1:12" s="5" customFormat="1" x14ac:dyDescent="0.2">
      <c r="A208" s="133" t="str">
        <f t="shared" si="85"/>
        <v/>
      </c>
      <c r="B208" s="15"/>
      <c r="C208" s="15"/>
      <c r="D208" s="194"/>
      <c r="E208" s="208" t="s">
        <v>85</v>
      </c>
      <c r="F208" s="16"/>
      <c r="G208" s="17"/>
      <c r="H208" s="195"/>
      <c r="I208" s="18"/>
      <c r="J208" s="19"/>
      <c r="K208" s="94"/>
      <c r="L208" s="93"/>
    </row>
    <row r="209" spans="1:12" s="5" customFormat="1" x14ac:dyDescent="0.2">
      <c r="A209" s="133">
        <f t="shared" si="85"/>
        <v>89</v>
      </c>
      <c r="B209" s="15" t="s">
        <v>61</v>
      </c>
      <c r="C209" s="15"/>
      <c r="D209" s="35"/>
      <c r="E209" s="31" t="s">
        <v>80</v>
      </c>
      <c r="F209" s="16">
        <f>27.7</f>
        <v>27.7</v>
      </c>
      <c r="G209" s="17">
        <v>0.1</v>
      </c>
      <c r="H209" s="195">
        <f t="shared" ref="H209" si="88">F209*(1+G209)</f>
        <v>30.470000000000002</v>
      </c>
      <c r="I209" s="18" t="s">
        <v>24</v>
      </c>
      <c r="J209" s="19">
        <f>J$20</f>
        <v>0</v>
      </c>
      <c r="K209" s="94">
        <f t="shared" ref="K209" si="89">J209*H209</f>
        <v>0</v>
      </c>
      <c r="L209" s="93"/>
    </row>
    <row r="210" spans="1:12" s="5" customFormat="1" x14ac:dyDescent="0.2">
      <c r="A210" s="133" t="str">
        <f t="shared" si="85"/>
        <v/>
      </c>
      <c r="B210" s="15"/>
      <c r="C210" s="15"/>
      <c r="D210" s="194"/>
      <c r="E210" s="208" t="s">
        <v>86</v>
      </c>
      <c r="F210" s="16"/>
      <c r="G210" s="17"/>
      <c r="H210" s="195"/>
      <c r="I210" s="18"/>
      <c r="J210" s="19"/>
      <c r="K210" s="94"/>
      <c r="L210" s="93"/>
    </row>
    <row r="211" spans="1:12" s="5" customFormat="1" ht="16.5" thickBot="1" x14ac:dyDescent="0.25">
      <c r="A211" s="133">
        <f t="shared" si="85"/>
        <v>90</v>
      </c>
      <c r="B211" s="15" t="s">
        <v>61</v>
      </c>
      <c r="C211" s="15"/>
      <c r="D211" s="194"/>
      <c r="E211" s="31" t="s">
        <v>74</v>
      </c>
      <c r="F211" s="16">
        <v>360</v>
      </c>
      <c r="G211" s="17">
        <v>0.1</v>
      </c>
      <c r="H211" s="195">
        <f>F211*(1+G211)</f>
        <v>396.00000000000006</v>
      </c>
      <c r="I211" s="18" t="s">
        <v>16</v>
      </c>
      <c r="J211" s="19">
        <f>J$22</f>
        <v>0</v>
      </c>
      <c r="K211" s="94">
        <f>J211*H211</f>
        <v>0</v>
      </c>
      <c r="L211" s="93"/>
    </row>
    <row r="212" spans="1:12" s="5" customFormat="1" ht="16.5" thickBot="1" x14ac:dyDescent="0.25">
      <c r="A212" s="133" t="str">
        <f t="shared" si="85"/>
        <v/>
      </c>
      <c r="B212" s="15"/>
      <c r="C212" s="189"/>
      <c r="D212" s="190"/>
      <c r="E212" s="211" t="s">
        <v>97</v>
      </c>
      <c r="F212" s="192"/>
      <c r="G212" s="193"/>
      <c r="H212" s="29"/>
      <c r="I212" s="30"/>
      <c r="J212" s="19"/>
      <c r="K212" s="94"/>
      <c r="L212" s="93"/>
    </row>
    <row r="213" spans="1:12" s="5" customFormat="1" x14ac:dyDescent="0.2">
      <c r="A213" s="133" t="str">
        <f t="shared" si="85"/>
        <v/>
      </c>
      <c r="B213" s="188"/>
      <c r="C213" s="189"/>
      <c r="D213" s="190"/>
      <c r="E213" s="208" t="s">
        <v>82</v>
      </c>
      <c r="F213" s="192"/>
      <c r="G213" s="193"/>
      <c r="H213" s="29"/>
      <c r="I213" s="30"/>
      <c r="J213" s="19"/>
      <c r="K213" s="94"/>
      <c r="L213" s="93"/>
    </row>
    <row r="214" spans="1:12" s="5" customFormat="1" ht="47.25" x14ac:dyDescent="0.2">
      <c r="A214" s="133">
        <f t="shared" si="85"/>
        <v>91</v>
      </c>
      <c r="B214" s="15" t="s">
        <v>61</v>
      </c>
      <c r="C214" s="15" t="s">
        <v>48</v>
      </c>
      <c r="D214" s="194"/>
      <c r="E214" s="31" t="s">
        <v>122</v>
      </c>
      <c r="F214" s="16">
        <f>27.3*13</f>
        <v>354.90000000000003</v>
      </c>
      <c r="G214" s="17">
        <v>0.1</v>
      </c>
      <c r="H214" s="195">
        <f t="shared" si="42"/>
        <v>390.39000000000004</v>
      </c>
      <c r="I214" s="18" t="s">
        <v>16</v>
      </c>
      <c r="J214" s="19">
        <f>J$137</f>
        <v>0</v>
      </c>
      <c r="K214" s="94">
        <f t="shared" si="43"/>
        <v>0</v>
      </c>
      <c r="L214" s="93"/>
    </row>
    <row r="215" spans="1:12" s="5" customFormat="1" x14ac:dyDescent="0.2">
      <c r="A215" s="133" t="str">
        <f t="shared" si="85"/>
        <v/>
      </c>
      <c r="B215" s="15"/>
      <c r="C215" s="15"/>
      <c r="D215" s="194"/>
      <c r="E215" s="208" t="s">
        <v>81</v>
      </c>
      <c r="F215" s="16"/>
      <c r="G215" s="17"/>
      <c r="H215" s="195"/>
      <c r="I215" s="18"/>
      <c r="J215" s="19"/>
      <c r="K215" s="94"/>
      <c r="L215" s="93"/>
    </row>
    <row r="216" spans="1:12" s="5" customFormat="1" ht="31.5" x14ac:dyDescent="0.2">
      <c r="A216" s="133">
        <f t="shared" si="85"/>
        <v>92</v>
      </c>
      <c r="B216" s="15" t="s">
        <v>61</v>
      </c>
      <c r="C216" s="15"/>
      <c r="D216" s="194"/>
      <c r="E216" s="31" t="s">
        <v>77</v>
      </c>
      <c r="F216" s="16">
        <f>27.3*2</f>
        <v>54.6</v>
      </c>
      <c r="G216" s="17">
        <v>0.1</v>
      </c>
      <c r="H216" s="195">
        <f t="shared" ref="H216" si="90">F216*(1+G216)</f>
        <v>60.060000000000009</v>
      </c>
      <c r="I216" s="18" t="s">
        <v>24</v>
      </c>
      <c r="J216" s="19">
        <f>J$16</f>
        <v>0</v>
      </c>
      <c r="K216" s="94">
        <f t="shared" ref="K216" si="91">J216*H216</f>
        <v>0</v>
      </c>
      <c r="L216" s="93"/>
    </row>
    <row r="217" spans="1:12" s="5" customFormat="1" x14ac:dyDescent="0.2">
      <c r="A217" s="133" t="str">
        <f t="shared" si="85"/>
        <v/>
      </c>
      <c r="B217" s="15"/>
      <c r="C217" s="15"/>
      <c r="D217" s="194"/>
      <c r="E217" s="208" t="s">
        <v>83</v>
      </c>
      <c r="F217" s="16"/>
      <c r="G217" s="17"/>
      <c r="H217" s="195"/>
      <c r="I217" s="18"/>
      <c r="J217" s="19"/>
      <c r="K217" s="94"/>
      <c r="L217" s="93"/>
    </row>
    <row r="218" spans="1:12" s="5" customFormat="1" ht="31.5" x14ac:dyDescent="0.2">
      <c r="A218" s="133">
        <f t="shared" si="85"/>
        <v>93</v>
      </c>
      <c r="B218" s="15" t="s">
        <v>61</v>
      </c>
      <c r="C218" s="15"/>
      <c r="D218" s="212" t="s">
        <v>84</v>
      </c>
      <c r="E218" s="31" t="s">
        <v>30</v>
      </c>
      <c r="F218" s="16">
        <f>(27.3/4+1)*2*0.5</f>
        <v>7.8250000000000002</v>
      </c>
      <c r="G218" s="17">
        <v>0.1</v>
      </c>
      <c r="H218" s="195">
        <f t="shared" ref="H218" si="92">F218*(1+G218)</f>
        <v>8.6075000000000017</v>
      </c>
      <c r="I218" s="18" t="s">
        <v>24</v>
      </c>
      <c r="J218" s="19">
        <f>J$18</f>
        <v>0</v>
      </c>
      <c r="K218" s="94">
        <f t="shared" ref="K218" si="93">J218*H218</f>
        <v>0</v>
      </c>
      <c r="L218" s="93"/>
    </row>
    <row r="219" spans="1:12" s="5" customFormat="1" x14ac:dyDescent="0.2">
      <c r="A219" s="133" t="str">
        <f t="shared" si="85"/>
        <v/>
      </c>
      <c r="B219" s="15"/>
      <c r="C219" s="15"/>
      <c r="D219" s="194"/>
      <c r="E219" s="208" t="s">
        <v>85</v>
      </c>
      <c r="F219" s="16"/>
      <c r="G219" s="17"/>
      <c r="H219" s="195"/>
      <c r="I219" s="18"/>
      <c r="J219" s="19"/>
      <c r="K219" s="94"/>
      <c r="L219" s="93"/>
    </row>
    <row r="220" spans="1:12" s="5" customFormat="1" x14ac:dyDescent="0.2">
      <c r="A220" s="133">
        <f t="shared" si="85"/>
        <v>94</v>
      </c>
      <c r="B220" s="15" t="s">
        <v>61</v>
      </c>
      <c r="C220" s="15"/>
      <c r="D220" s="35"/>
      <c r="E220" s="31" t="s">
        <v>80</v>
      </c>
      <c r="F220" s="16">
        <f>27.3</f>
        <v>27.3</v>
      </c>
      <c r="G220" s="17">
        <v>0.1</v>
      </c>
      <c r="H220" s="195">
        <f t="shared" ref="H220" si="94">F220*(1+G220)</f>
        <v>30.030000000000005</v>
      </c>
      <c r="I220" s="18" t="s">
        <v>24</v>
      </c>
      <c r="J220" s="19">
        <f>J$20</f>
        <v>0</v>
      </c>
      <c r="K220" s="94">
        <f t="shared" ref="K220" si="95">J220*H220</f>
        <v>0</v>
      </c>
      <c r="L220" s="93"/>
    </row>
    <row r="221" spans="1:12" s="5" customFormat="1" x14ac:dyDescent="0.2">
      <c r="A221" s="133" t="str">
        <f t="shared" si="85"/>
        <v/>
      </c>
      <c r="B221" s="15"/>
      <c r="C221" s="15"/>
      <c r="D221" s="194"/>
      <c r="E221" s="208" t="s">
        <v>86</v>
      </c>
      <c r="F221" s="16"/>
      <c r="G221" s="17"/>
      <c r="H221" s="195"/>
      <c r="I221" s="18"/>
      <c r="J221" s="19"/>
      <c r="K221" s="94"/>
      <c r="L221" s="93"/>
    </row>
    <row r="222" spans="1:12" s="5" customFormat="1" ht="16.5" thickBot="1" x14ac:dyDescent="0.25">
      <c r="A222" s="133">
        <f t="shared" si="85"/>
        <v>95</v>
      </c>
      <c r="B222" s="15" t="s">
        <v>61</v>
      </c>
      <c r="C222" s="15"/>
      <c r="D222" s="194"/>
      <c r="E222" s="31" t="s">
        <v>74</v>
      </c>
      <c r="F222" s="16">
        <v>355</v>
      </c>
      <c r="G222" s="17">
        <v>0.1</v>
      </c>
      <c r="H222" s="195">
        <f>F222*(1+G222)</f>
        <v>390.50000000000006</v>
      </c>
      <c r="I222" s="18" t="s">
        <v>16</v>
      </c>
      <c r="J222" s="19">
        <f>J$22</f>
        <v>0</v>
      </c>
      <c r="K222" s="94">
        <f>J222*H222</f>
        <v>0</v>
      </c>
      <c r="L222" s="93"/>
    </row>
    <row r="223" spans="1:12" s="5" customFormat="1" ht="16.5" thickBot="1" x14ac:dyDescent="0.25">
      <c r="A223" s="133" t="str">
        <f t="shared" si="85"/>
        <v/>
      </c>
      <c r="B223" s="15"/>
      <c r="C223" s="189"/>
      <c r="D223" s="190"/>
      <c r="E223" s="211" t="s">
        <v>96</v>
      </c>
      <c r="F223" s="192"/>
      <c r="G223" s="193"/>
      <c r="H223" s="29"/>
      <c r="I223" s="30"/>
      <c r="J223" s="19"/>
      <c r="K223" s="94"/>
      <c r="L223" s="93"/>
    </row>
    <row r="224" spans="1:12" s="5" customFormat="1" x14ac:dyDescent="0.2">
      <c r="A224" s="133" t="str">
        <f t="shared" si="85"/>
        <v/>
      </c>
      <c r="B224" s="188"/>
      <c r="C224" s="189"/>
      <c r="D224" s="190"/>
      <c r="E224" s="208" t="s">
        <v>82</v>
      </c>
      <c r="F224" s="192"/>
      <c r="G224" s="193"/>
      <c r="H224" s="29"/>
      <c r="I224" s="30"/>
      <c r="J224" s="19"/>
      <c r="K224" s="94"/>
      <c r="L224" s="93"/>
    </row>
    <row r="225" spans="1:12" s="5" customFormat="1" ht="47.25" x14ac:dyDescent="0.2">
      <c r="A225" s="133">
        <f t="shared" si="85"/>
        <v>96</v>
      </c>
      <c r="B225" s="15" t="s">
        <v>61</v>
      </c>
      <c r="C225" s="15" t="s">
        <v>49</v>
      </c>
      <c r="D225" s="194"/>
      <c r="E225" s="31" t="s">
        <v>122</v>
      </c>
      <c r="F225" s="16">
        <f>27.3*13</f>
        <v>354.90000000000003</v>
      </c>
      <c r="G225" s="17">
        <v>0.1</v>
      </c>
      <c r="H225" s="195">
        <f t="shared" si="42"/>
        <v>390.39000000000004</v>
      </c>
      <c r="I225" s="18" t="s">
        <v>16</v>
      </c>
      <c r="J225" s="19">
        <f>J$137</f>
        <v>0</v>
      </c>
      <c r="K225" s="94">
        <f t="shared" si="43"/>
        <v>0</v>
      </c>
      <c r="L225" s="93"/>
    </row>
    <row r="226" spans="1:12" s="5" customFormat="1" x14ac:dyDescent="0.2">
      <c r="A226" s="133" t="str">
        <f t="shared" si="85"/>
        <v/>
      </c>
      <c r="B226" s="15"/>
      <c r="C226" s="15"/>
      <c r="D226" s="194"/>
      <c r="E226" s="208" t="s">
        <v>81</v>
      </c>
      <c r="F226" s="16"/>
      <c r="G226" s="17"/>
      <c r="H226" s="195"/>
      <c r="I226" s="18"/>
      <c r="J226" s="19"/>
      <c r="K226" s="94"/>
      <c r="L226" s="93"/>
    </row>
    <row r="227" spans="1:12" s="5" customFormat="1" ht="31.5" x14ac:dyDescent="0.2">
      <c r="A227" s="133">
        <f t="shared" si="85"/>
        <v>97</v>
      </c>
      <c r="B227" s="15" t="s">
        <v>61</v>
      </c>
      <c r="C227" s="15"/>
      <c r="D227" s="194"/>
      <c r="E227" s="31" t="s">
        <v>77</v>
      </c>
      <c r="F227" s="16">
        <f>27.3*2</f>
        <v>54.6</v>
      </c>
      <c r="G227" s="17">
        <v>0.1</v>
      </c>
      <c r="H227" s="195">
        <f t="shared" ref="H227" si="96">F227*(1+G227)</f>
        <v>60.060000000000009</v>
      </c>
      <c r="I227" s="18" t="s">
        <v>24</v>
      </c>
      <c r="J227" s="19">
        <f>J$16</f>
        <v>0</v>
      </c>
      <c r="K227" s="94">
        <f t="shared" ref="K227" si="97">J227*H227</f>
        <v>0</v>
      </c>
      <c r="L227" s="93"/>
    </row>
    <row r="228" spans="1:12" s="5" customFormat="1" x14ac:dyDescent="0.2">
      <c r="A228" s="133" t="str">
        <f t="shared" si="85"/>
        <v/>
      </c>
      <c r="B228" s="15"/>
      <c r="C228" s="15"/>
      <c r="D228" s="194"/>
      <c r="E228" s="208" t="s">
        <v>83</v>
      </c>
      <c r="F228" s="16"/>
      <c r="G228" s="17"/>
      <c r="H228" s="195"/>
      <c r="I228" s="18"/>
      <c r="J228" s="19"/>
      <c r="K228" s="94"/>
      <c r="L228" s="93"/>
    </row>
    <row r="229" spans="1:12" s="5" customFormat="1" ht="31.5" x14ac:dyDescent="0.2">
      <c r="A229" s="133">
        <f t="shared" si="85"/>
        <v>98</v>
      </c>
      <c r="B229" s="15" t="s">
        <v>61</v>
      </c>
      <c r="C229" s="15"/>
      <c r="D229" s="212" t="s">
        <v>84</v>
      </c>
      <c r="E229" s="31" t="s">
        <v>30</v>
      </c>
      <c r="F229" s="16">
        <f>(27.3/4+1)*2*0.5</f>
        <v>7.8250000000000002</v>
      </c>
      <c r="G229" s="17">
        <v>0.1</v>
      </c>
      <c r="H229" s="195">
        <f t="shared" ref="H229" si="98">F229*(1+G229)</f>
        <v>8.6075000000000017</v>
      </c>
      <c r="I229" s="18" t="s">
        <v>24</v>
      </c>
      <c r="J229" s="19">
        <f>J$18</f>
        <v>0</v>
      </c>
      <c r="K229" s="94">
        <f t="shared" ref="K229" si="99">J229*H229</f>
        <v>0</v>
      </c>
      <c r="L229" s="93"/>
    </row>
    <row r="230" spans="1:12" s="5" customFormat="1" x14ac:dyDescent="0.2">
      <c r="A230" s="133" t="str">
        <f t="shared" si="85"/>
        <v/>
      </c>
      <c r="B230" s="15"/>
      <c r="C230" s="15"/>
      <c r="D230" s="194"/>
      <c r="E230" s="208" t="s">
        <v>85</v>
      </c>
      <c r="F230" s="16"/>
      <c r="G230" s="17"/>
      <c r="H230" s="195"/>
      <c r="I230" s="18"/>
      <c r="J230" s="19"/>
      <c r="K230" s="94"/>
      <c r="L230" s="93"/>
    </row>
    <row r="231" spans="1:12" s="5" customFormat="1" x14ac:dyDescent="0.2">
      <c r="A231" s="133">
        <f t="shared" si="85"/>
        <v>99</v>
      </c>
      <c r="B231" s="15" t="s">
        <v>61</v>
      </c>
      <c r="C231" s="15"/>
      <c r="D231" s="35"/>
      <c r="E231" s="31" t="s">
        <v>80</v>
      </c>
      <c r="F231" s="16">
        <f>27.3</f>
        <v>27.3</v>
      </c>
      <c r="G231" s="17">
        <v>0.1</v>
      </c>
      <c r="H231" s="195">
        <f t="shared" ref="H231" si="100">F231*(1+G231)</f>
        <v>30.030000000000005</v>
      </c>
      <c r="I231" s="18" t="s">
        <v>24</v>
      </c>
      <c r="J231" s="19">
        <f>J$20</f>
        <v>0</v>
      </c>
      <c r="K231" s="94">
        <f t="shared" ref="K231" si="101">J231*H231</f>
        <v>0</v>
      </c>
      <c r="L231" s="93"/>
    </row>
    <row r="232" spans="1:12" s="5" customFormat="1" x14ac:dyDescent="0.2">
      <c r="A232" s="133" t="str">
        <f t="shared" si="85"/>
        <v/>
      </c>
      <c r="B232" s="15"/>
      <c r="C232" s="15"/>
      <c r="D232" s="194"/>
      <c r="E232" s="208" t="s">
        <v>86</v>
      </c>
      <c r="F232" s="16"/>
      <c r="G232" s="17"/>
      <c r="H232" s="195"/>
      <c r="I232" s="18"/>
      <c r="J232" s="19"/>
      <c r="K232" s="94"/>
      <c r="L232" s="93"/>
    </row>
    <row r="233" spans="1:12" s="5" customFormat="1" x14ac:dyDescent="0.2">
      <c r="A233" s="133">
        <f t="shared" si="85"/>
        <v>100</v>
      </c>
      <c r="B233" s="15" t="s">
        <v>61</v>
      </c>
      <c r="C233" s="15"/>
      <c r="D233" s="194"/>
      <c r="E233" s="31" t="s">
        <v>74</v>
      </c>
      <c r="F233" s="16">
        <v>355</v>
      </c>
      <c r="G233" s="17">
        <v>0.1</v>
      </c>
      <c r="H233" s="195">
        <f>F233*(1+G233)</f>
        <v>390.50000000000006</v>
      </c>
      <c r="I233" s="18" t="s">
        <v>16</v>
      </c>
      <c r="J233" s="19">
        <f>J$22</f>
        <v>0</v>
      </c>
      <c r="K233" s="94">
        <f>J233*H233</f>
        <v>0</v>
      </c>
      <c r="L233" s="93"/>
    </row>
    <row r="234" spans="1:12" s="5" customFormat="1" ht="16.5" thickBot="1" x14ac:dyDescent="0.25">
      <c r="A234" s="133" t="str">
        <f t="shared" si="85"/>
        <v/>
      </c>
      <c r="B234" s="15"/>
      <c r="C234" s="15"/>
      <c r="D234" s="35"/>
      <c r="E234" s="31"/>
      <c r="F234" s="16"/>
      <c r="G234" s="17"/>
      <c r="H234" s="195"/>
      <c r="I234" s="18"/>
      <c r="J234" s="18"/>
      <c r="K234" s="94"/>
      <c r="L234" s="93"/>
    </row>
    <row r="235" spans="1:12" s="5" customFormat="1" ht="16.5" thickBot="1" x14ac:dyDescent="0.25">
      <c r="A235" s="133" t="str">
        <f t="shared" si="85"/>
        <v/>
      </c>
      <c r="B235" s="180"/>
      <c r="C235" s="181"/>
      <c r="D235" s="182"/>
      <c r="E235" s="183" t="s">
        <v>104</v>
      </c>
      <c r="F235" s="184"/>
      <c r="G235" s="185"/>
      <c r="H235" s="186"/>
      <c r="I235" s="187"/>
      <c r="J235" s="213"/>
      <c r="K235" s="179"/>
      <c r="L235" s="93"/>
    </row>
    <row r="236" spans="1:12" s="5" customFormat="1" ht="16.5" thickBot="1" x14ac:dyDescent="0.25">
      <c r="A236" s="133" t="str">
        <f t="shared" si="85"/>
        <v/>
      </c>
      <c r="B236" s="15"/>
      <c r="C236" s="189"/>
      <c r="D236" s="190"/>
      <c r="E236" s="211" t="s">
        <v>105</v>
      </c>
      <c r="F236" s="192"/>
      <c r="G236" s="193"/>
      <c r="H236" s="29"/>
      <c r="I236" s="30"/>
      <c r="J236" s="19"/>
      <c r="K236" s="94"/>
      <c r="L236" s="93"/>
    </row>
    <row r="237" spans="1:12" s="5" customFormat="1" x14ac:dyDescent="0.2">
      <c r="A237" s="133" t="str">
        <f t="shared" si="85"/>
        <v/>
      </c>
      <c r="B237" s="15"/>
      <c r="C237" s="189"/>
      <c r="D237" s="190"/>
      <c r="E237" s="208" t="s">
        <v>82</v>
      </c>
      <c r="F237" s="192"/>
      <c r="G237" s="193"/>
      <c r="H237" s="29"/>
      <c r="I237" s="30"/>
      <c r="J237" s="19"/>
      <c r="K237" s="94"/>
      <c r="L237" s="93"/>
    </row>
    <row r="238" spans="1:12" s="5" customFormat="1" ht="47.25" x14ac:dyDescent="0.2">
      <c r="A238" s="133">
        <f t="shared" si="85"/>
        <v>101</v>
      </c>
      <c r="B238" s="15" t="s">
        <v>62</v>
      </c>
      <c r="C238" s="15" t="s">
        <v>50</v>
      </c>
      <c r="D238" s="194"/>
      <c r="E238" s="31" t="s">
        <v>122</v>
      </c>
      <c r="F238" s="16">
        <f>27.7*12.67</f>
        <v>350.959</v>
      </c>
      <c r="G238" s="17">
        <v>0.1</v>
      </c>
      <c r="H238" s="195">
        <f t="shared" ref="H238:H337" si="102">F238*(1+G238)</f>
        <v>386.05490000000003</v>
      </c>
      <c r="I238" s="18" t="s">
        <v>16</v>
      </c>
      <c r="J238" s="19">
        <f>J$137</f>
        <v>0</v>
      </c>
      <c r="K238" s="94">
        <f t="shared" ref="K238:K337" si="103">J238*H238</f>
        <v>0</v>
      </c>
      <c r="L238" s="93"/>
    </row>
    <row r="239" spans="1:12" s="5" customFormat="1" x14ac:dyDescent="0.2">
      <c r="A239" s="133" t="str">
        <f t="shared" si="85"/>
        <v/>
      </c>
      <c r="B239" s="15"/>
      <c r="C239" s="15"/>
      <c r="D239" s="194"/>
      <c r="E239" s="208" t="s">
        <v>81</v>
      </c>
      <c r="F239" s="16"/>
      <c r="G239" s="17"/>
      <c r="H239" s="195"/>
      <c r="I239" s="18"/>
      <c r="J239" s="19"/>
      <c r="K239" s="94"/>
      <c r="L239" s="93"/>
    </row>
    <row r="240" spans="1:12" s="5" customFormat="1" ht="31.5" x14ac:dyDescent="0.2">
      <c r="A240" s="133">
        <f t="shared" si="85"/>
        <v>102</v>
      </c>
      <c r="B240" s="15" t="s">
        <v>62</v>
      </c>
      <c r="C240" s="15"/>
      <c r="D240" s="194"/>
      <c r="E240" s="31" t="s">
        <v>77</v>
      </c>
      <c r="F240" s="16">
        <f>27.7*2</f>
        <v>55.4</v>
      </c>
      <c r="G240" s="17">
        <v>0.1</v>
      </c>
      <c r="H240" s="195">
        <f t="shared" si="102"/>
        <v>60.940000000000005</v>
      </c>
      <c r="I240" s="18" t="s">
        <v>24</v>
      </c>
      <c r="J240" s="19">
        <f>J$16</f>
        <v>0</v>
      </c>
      <c r="K240" s="94">
        <f t="shared" si="103"/>
        <v>0</v>
      </c>
      <c r="L240" s="93"/>
    </row>
    <row r="241" spans="1:12" s="5" customFormat="1" x14ac:dyDescent="0.2">
      <c r="A241" s="133" t="str">
        <f t="shared" si="85"/>
        <v/>
      </c>
      <c r="B241" s="15"/>
      <c r="C241" s="15"/>
      <c r="D241" s="194"/>
      <c r="E241" s="208" t="s">
        <v>83</v>
      </c>
      <c r="F241" s="16"/>
      <c r="G241" s="17"/>
      <c r="H241" s="195"/>
      <c r="I241" s="18"/>
      <c r="J241" s="19"/>
      <c r="K241" s="94"/>
      <c r="L241" s="93"/>
    </row>
    <row r="242" spans="1:12" s="5" customFormat="1" ht="31.5" x14ac:dyDescent="0.2">
      <c r="A242" s="133">
        <f t="shared" si="85"/>
        <v>103</v>
      </c>
      <c r="B242" s="15" t="s">
        <v>62</v>
      </c>
      <c r="C242" s="15"/>
      <c r="D242" s="212" t="s">
        <v>84</v>
      </c>
      <c r="E242" s="31" t="s">
        <v>30</v>
      </c>
      <c r="F242" s="16">
        <f>(27.7/4+1)*2*0.5</f>
        <v>7.9249999999999998</v>
      </c>
      <c r="G242" s="17">
        <v>0.1</v>
      </c>
      <c r="H242" s="195">
        <f t="shared" ref="H242" si="104">F242*(1+G242)</f>
        <v>8.7175000000000011</v>
      </c>
      <c r="I242" s="18" t="s">
        <v>24</v>
      </c>
      <c r="J242" s="19">
        <f>J$18</f>
        <v>0</v>
      </c>
      <c r="K242" s="94">
        <f t="shared" ref="K242" si="105">J242*H242</f>
        <v>0</v>
      </c>
      <c r="L242" s="93"/>
    </row>
    <row r="243" spans="1:12" s="5" customFormat="1" x14ac:dyDescent="0.2">
      <c r="A243" s="133" t="str">
        <f t="shared" si="85"/>
        <v/>
      </c>
      <c r="B243" s="15"/>
      <c r="C243" s="15"/>
      <c r="D243" s="194"/>
      <c r="E243" s="208" t="s">
        <v>85</v>
      </c>
      <c r="F243" s="16"/>
      <c r="G243" s="17"/>
      <c r="H243" s="195"/>
      <c r="I243" s="18"/>
      <c r="J243" s="19"/>
      <c r="K243" s="94"/>
      <c r="L243" s="93"/>
    </row>
    <row r="244" spans="1:12" s="5" customFormat="1" x14ac:dyDescent="0.2">
      <c r="A244" s="133">
        <f t="shared" si="85"/>
        <v>104</v>
      </c>
      <c r="B244" s="15" t="s">
        <v>62</v>
      </c>
      <c r="C244" s="15"/>
      <c r="D244" s="35"/>
      <c r="E244" s="31" t="s">
        <v>80</v>
      </c>
      <c r="F244" s="16">
        <f>27.7</f>
        <v>27.7</v>
      </c>
      <c r="G244" s="17">
        <v>0.1</v>
      </c>
      <c r="H244" s="195">
        <f t="shared" ref="H244" si="106">F244*(1+G244)</f>
        <v>30.470000000000002</v>
      </c>
      <c r="I244" s="18" t="s">
        <v>24</v>
      </c>
      <c r="J244" s="19">
        <f>J$20</f>
        <v>0</v>
      </c>
      <c r="K244" s="94">
        <f t="shared" ref="K244" si="107">J244*H244</f>
        <v>0</v>
      </c>
      <c r="L244" s="93"/>
    </row>
    <row r="245" spans="1:12" s="5" customFormat="1" x14ac:dyDescent="0.2">
      <c r="A245" s="133" t="str">
        <f t="shared" si="85"/>
        <v/>
      </c>
      <c r="B245" s="15"/>
      <c r="C245" s="15"/>
      <c r="D245" s="194"/>
      <c r="E245" s="208" t="s">
        <v>86</v>
      </c>
      <c r="F245" s="16"/>
      <c r="G245" s="17"/>
      <c r="H245" s="195"/>
      <c r="I245" s="18"/>
      <c r="J245" s="19"/>
      <c r="K245" s="94"/>
      <c r="L245" s="93"/>
    </row>
    <row r="246" spans="1:12" s="5" customFormat="1" ht="16.5" thickBot="1" x14ac:dyDescent="0.25">
      <c r="A246" s="133">
        <f t="shared" si="85"/>
        <v>105</v>
      </c>
      <c r="B246" s="15" t="s">
        <v>62</v>
      </c>
      <c r="C246" s="15"/>
      <c r="D246" s="194"/>
      <c r="E246" s="31" t="s">
        <v>74</v>
      </c>
      <c r="F246" s="16">
        <f>351</f>
        <v>351</v>
      </c>
      <c r="G246" s="17">
        <v>0.1</v>
      </c>
      <c r="H246" s="195">
        <f>F246*(1+G246)</f>
        <v>386.1</v>
      </c>
      <c r="I246" s="18" t="s">
        <v>16</v>
      </c>
      <c r="J246" s="19">
        <f>J$22</f>
        <v>0</v>
      </c>
      <c r="K246" s="94">
        <f>J246*H246</f>
        <v>0</v>
      </c>
      <c r="L246" s="93"/>
    </row>
    <row r="247" spans="1:12" s="5" customFormat="1" ht="16.5" thickBot="1" x14ac:dyDescent="0.25">
      <c r="A247" s="133" t="str">
        <f t="shared" si="85"/>
        <v/>
      </c>
      <c r="B247" s="15"/>
      <c r="C247" s="189"/>
      <c r="D247" s="190"/>
      <c r="E247" s="211" t="s">
        <v>106</v>
      </c>
      <c r="F247" s="192"/>
      <c r="G247" s="193"/>
      <c r="H247" s="29"/>
      <c r="I247" s="30"/>
      <c r="J247" s="19"/>
      <c r="K247" s="94"/>
      <c r="L247" s="93"/>
    </row>
    <row r="248" spans="1:12" s="5" customFormat="1" x14ac:dyDescent="0.2">
      <c r="A248" s="133" t="str">
        <f t="shared" si="85"/>
        <v/>
      </c>
      <c r="B248" s="15"/>
      <c r="C248" s="189"/>
      <c r="D248" s="190"/>
      <c r="E248" s="208" t="s">
        <v>82</v>
      </c>
      <c r="F248" s="192"/>
      <c r="G248" s="193"/>
      <c r="H248" s="29"/>
      <c r="I248" s="30"/>
      <c r="J248" s="19"/>
      <c r="K248" s="94"/>
      <c r="L248" s="93"/>
    </row>
    <row r="249" spans="1:12" s="5" customFormat="1" ht="47.25" x14ac:dyDescent="0.2">
      <c r="A249" s="133">
        <f t="shared" si="85"/>
        <v>106</v>
      </c>
      <c r="B249" s="15" t="s">
        <v>62</v>
      </c>
      <c r="C249" s="15" t="s">
        <v>51</v>
      </c>
      <c r="D249" s="194"/>
      <c r="E249" s="31" t="s">
        <v>125</v>
      </c>
      <c r="F249" s="16">
        <f>26.9*12.67</f>
        <v>340.82299999999998</v>
      </c>
      <c r="G249" s="17">
        <v>0.1</v>
      </c>
      <c r="H249" s="195">
        <f t="shared" si="102"/>
        <v>374.90530000000001</v>
      </c>
      <c r="I249" s="18" t="s">
        <v>16</v>
      </c>
      <c r="J249" s="104">
        <v>0</v>
      </c>
      <c r="K249" s="94">
        <f t="shared" si="103"/>
        <v>0</v>
      </c>
      <c r="L249" s="93"/>
    </row>
    <row r="250" spans="1:12" s="5" customFormat="1" x14ac:dyDescent="0.2">
      <c r="A250" s="133" t="str">
        <f t="shared" si="85"/>
        <v/>
      </c>
      <c r="B250" s="15"/>
      <c r="C250" s="15"/>
      <c r="D250" s="194"/>
      <c r="E250" s="208" t="s">
        <v>81</v>
      </c>
      <c r="F250" s="16"/>
      <c r="G250" s="17"/>
      <c r="H250" s="195"/>
      <c r="I250" s="18"/>
      <c r="J250" s="19"/>
      <c r="K250" s="94"/>
      <c r="L250" s="93"/>
    </row>
    <row r="251" spans="1:12" s="5" customFormat="1" ht="31.5" x14ac:dyDescent="0.2">
      <c r="A251" s="133">
        <f t="shared" si="85"/>
        <v>107</v>
      </c>
      <c r="B251" s="15" t="s">
        <v>62</v>
      </c>
      <c r="C251" s="15"/>
      <c r="D251" s="194"/>
      <c r="E251" s="31" t="s">
        <v>77</v>
      </c>
      <c r="F251" s="16">
        <f>26.9*2</f>
        <v>53.8</v>
      </c>
      <c r="G251" s="17">
        <v>0.1</v>
      </c>
      <c r="H251" s="195">
        <f t="shared" ref="H251" si="108">F251*(1+G251)</f>
        <v>59.18</v>
      </c>
      <c r="I251" s="18" t="s">
        <v>24</v>
      </c>
      <c r="J251" s="19">
        <f>J$16</f>
        <v>0</v>
      </c>
      <c r="K251" s="94">
        <f t="shared" ref="K251" si="109">J251*H251</f>
        <v>0</v>
      </c>
      <c r="L251" s="93"/>
    </row>
    <row r="252" spans="1:12" s="5" customFormat="1" x14ac:dyDescent="0.2">
      <c r="A252" s="133" t="str">
        <f t="shared" si="85"/>
        <v/>
      </c>
      <c r="B252" s="15"/>
      <c r="C252" s="15"/>
      <c r="D252" s="194"/>
      <c r="E252" s="208" t="s">
        <v>83</v>
      </c>
      <c r="F252" s="16"/>
      <c r="G252" s="17"/>
      <c r="H252" s="195"/>
      <c r="I252" s="18"/>
      <c r="J252" s="19"/>
      <c r="K252" s="94"/>
      <c r="L252" s="93"/>
    </row>
    <row r="253" spans="1:12" s="5" customFormat="1" ht="31.5" x14ac:dyDescent="0.2">
      <c r="A253" s="133">
        <f t="shared" si="85"/>
        <v>108</v>
      </c>
      <c r="B253" s="15" t="s">
        <v>62</v>
      </c>
      <c r="C253" s="15"/>
      <c r="D253" s="212" t="s">
        <v>84</v>
      </c>
      <c r="E253" s="31" t="s">
        <v>30</v>
      </c>
      <c r="F253" s="16">
        <f>(26.9/4+1)*2*0.5</f>
        <v>7.7249999999999996</v>
      </c>
      <c r="G253" s="17">
        <v>0.1</v>
      </c>
      <c r="H253" s="195">
        <f t="shared" ref="H253" si="110">F253*(1+G253)</f>
        <v>8.4975000000000005</v>
      </c>
      <c r="I253" s="18" t="s">
        <v>24</v>
      </c>
      <c r="J253" s="19">
        <f>J$18</f>
        <v>0</v>
      </c>
      <c r="K253" s="94">
        <f t="shared" ref="K253" si="111">J253*H253</f>
        <v>0</v>
      </c>
      <c r="L253" s="93"/>
    </row>
    <row r="254" spans="1:12" s="5" customFormat="1" x14ac:dyDescent="0.2">
      <c r="A254" s="133" t="str">
        <f t="shared" si="85"/>
        <v/>
      </c>
      <c r="B254" s="15"/>
      <c r="C254" s="15"/>
      <c r="D254" s="194"/>
      <c r="E254" s="208" t="s">
        <v>85</v>
      </c>
      <c r="F254" s="16"/>
      <c r="G254" s="17"/>
      <c r="H254" s="195"/>
      <c r="I254" s="18"/>
      <c r="J254" s="19"/>
      <c r="K254" s="94"/>
      <c r="L254" s="93"/>
    </row>
    <row r="255" spans="1:12" s="5" customFormat="1" x14ac:dyDescent="0.2">
      <c r="A255" s="133">
        <f t="shared" si="85"/>
        <v>109</v>
      </c>
      <c r="B255" s="15" t="s">
        <v>62</v>
      </c>
      <c r="C255" s="15"/>
      <c r="D255" s="35"/>
      <c r="E255" s="31" t="s">
        <v>80</v>
      </c>
      <c r="F255" s="16">
        <v>26.9</v>
      </c>
      <c r="G255" s="17">
        <v>0.1</v>
      </c>
      <c r="H255" s="195">
        <f t="shared" ref="H255" si="112">F255*(1+G255)</f>
        <v>29.59</v>
      </c>
      <c r="I255" s="18" t="s">
        <v>24</v>
      </c>
      <c r="J255" s="19">
        <f>J$20</f>
        <v>0</v>
      </c>
      <c r="K255" s="94">
        <f t="shared" ref="K255" si="113">J255*H255</f>
        <v>0</v>
      </c>
      <c r="L255" s="93"/>
    </row>
    <row r="256" spans="1:12" s="5" customFormat="1" x14ac:dyDescent="0.2">
      <c r="A256" s="133" t="str">
        <f t="shared" si="85"/>
        <v/>
      </c>
      <c r="B256" s="15"/>
      <c r="C256" s="15"/>
      <c r="D256" s="194"/>
      <c r="E256" s="208" t="s">
        <v>86</v>
      </c>
      <c r="F256" s="16"/>
      <c r="G256" s="17"/>
      <c r="H256" s="195"/>
      <c r="I256" s="18"/>
      <c r="J256" s="19"/>
      <c r="K256" s="94"/>
      <c r="L256" s="93"/>
    </row>
    <row r="257" spans="1:12" s="5" customFormat="1" ht="16.5" thickBot="1" x14ac:dyDescent="0.25">
      <c r="A257" s="133">
        <f t="shared" si="85"/>
        <v>110</v>
      </c>
      <c r="B257" s="15" t="s">
        <v>62</v>
      </c>
      <c r="C257" s="15"/>
      <c r="D257" s="194"/>
      <c r="E257" s="31" t="s">
        <v>74</v>
      </c>
      <c r="F257" s="16">
        <v>341</v>
      </c>
      <c r="G257" s="17">
        <v>0.1</v>
      </c>
      <c r="H257" s="195">
        <f>F257*(1+G257)</f>
        <v>375.1</v>
      </c>
      <c r="I257" s="18" t="s">
        <v>16</v>
      </c>
      <c r="J257" s="19">
        <f>J$22</f>
        <v>0</v>
      </c>
      <c r="K257" s="94">
        <f>J257*H257</f>
        <v>0</v>
      </c>
      <c r="L257" s="93"/>
    </row>
    <row r="258" spans="1:12" s="5" customFormat="1" ht="16.5" thickBot="1" x14ac:dyDescent="0.25">
      <c r="A258" s="133" t="str">
        <f t="shared" si="85"/>
        <v/>
      </c>
      <c r="B258" s="15"/>
      <c r="C258" s="189"/>
      <c r="D258" s="190"/>
      <c r="E258" s="211" t="s">
        <v>107</v>
      </c>
      <c r="F258" s="192"/>
      <c r="G258" s="193"/>
      <c r="H258" s="29"/>
      <c r="I258" s="30"/>
      <c r="J258" s="19"/>
      <c r="K258" s="94"/>
      <c r="L258" s="93"/>
    </row>
    <row r="259" spans="1:12" s="5" customFormat="1" x14ac:dyDescent="0.2">
      <c r="A259" s="133" t="str">
        <f t="shared" si="85"/>
        <v/>
      </c>
      <c r="B259" s="15"/>
      <c r="C259" s="189"/>
      <c r="D259" s="190"/>
      <c r="E259" s="208" t="s">
        <v>82</v>
      </c>
      <c r="F259" s="192"/>
      <c r="G259" s="193"/>
      <c r="H259" s="29"/>
      <c r="I259" s="30"/>
      <c r="J259" s="19"/>
      <c r="K259" s="94"/>
      <c r="L259" s="93"/>
    </row>
    <row r="260" spans="1:12" s="5" customFormat="1" ht="47.25" x14ac:dyDescent="0.2">
      <c r="A260" s="133">
        <f t="shared" si="85"/>
        <v>111</v>
      </c>
      <c r="B260" s="15" t="s">
        <v>62</v>
      </c>
      <c r="C260" s="15" t="s">
        <v>52</v>
      </c>
      <c r="D260" s="194"/>
      <c r="E260" s="31" t="s">
        <v>125</v>
      </c>
      <c r="F260" s="16">
        <f>26.9*12.67</f>
        <v>340.82299999999998</v>
      </c>
      <c r="G260" s="17">
        <v>0.1</v>
      </c>
      <c r="H260" s="195">
        <f t="shared" si="102"/>
        <v>374.90530000000001</v>
      </c>
      <c r="I260" s="18" t="s">
        <v>16</v>
      </c>
      <c r="J260" s="19">
        <f>J$249</f>
        <v>0</v>
      </c>
      <c r="K260" s="94">
        <f t="shared" si="103"/>
        <v>0</v>
      </c>
      <c r="L260" s="93"/>
    </row>
    <row r="261" spans="1:12" s="5" customFormat="1" x14ac:dyDescent="0.2">
      <c r="A261" s="133" t="str">
        <f t="shared" si="85"/>
        <v/>
      </c>
      <c r="B261" s="15"/>
      <c r="C261" s="15"/>
      <c r="D261" s="194"/>
      <c r="E261" s="208" t="s">
        <v>81</v>
      </c>
      <c r="F261" s="16"/>
      <c r="G261" s="17"/>
      <c r="H261" s="195"/>
      <c r="I261" s="18"/>
      <c r="J261" s="19"/>
      <c r="K261" s="94"/>
      <c r="L261" s="93"/>
    </row>
    <row r="262" spans="1:12" s="5" customFormat="1" ht="31.5" x14ac:dyDescent="0.2">
      <c r="A262" s="133">
        <f t="shared" si="85"/>
        <v>112</v>
      </c>
      <c r="B262" s="15" t="s">
        <v>62</v>
      </c>
      <c r="C262" s="15"/>
      <c r="D262" s="194"/>
      <c r="E262" s="31" t="s">
        <v>77</v>
      </c>
      <c r="F262" s="16">
        <f>26.9*2</f>
        <v>53.8</v>
      </c>
      <c r="G262" s="17">
        <v>0.1</v>
      </c>
      <c r="H262" s="195">
        <f t="shared" ref="H262" si="114">F262*(1+G262)</f>
        <v>59.18</v>
      </c>
      <c r="I262" s="18" t="s">
        <v>24</v>
      </c>
      <c r="J262" s="19">
        <f>J$16</f>
        <v>0</v>
      </c>
      <c r="K262" s="94">
        <f t="shared" ref="K262" si="115">J262*H262</f>
        <v>0</v>
      </c>
      <c r="L262" s="93"/>
    </row>
    <row r="263" spans="1:12" s="5" customFormat="1" x14ac:dyDescent="0.2">
      <c r="A263" s="133" t="str">
        <f t="shared" si="85"/>
        <v/>
      </c>
      <c r="B263" s="15"/>
      <c r="C263" s="15"/>
      <c r="D263" s="194"/>
      <c r="E263" s="208" t="s">
        <v>83</v>
      </c>
      <c r="F263" s="16"/>
      <c r="G263" s="17"/>
      <c r="H263" s="195"/>
      <c r="I263" s="18"/>
      <c r="J263" s="19"/>
      <c r="K263" s="94"/>
      <c r="L263" s="93"/>
    </row>
    <row r="264" spans="1:12" s="5" customFormat="1" ht="31.5" x14ac:dyDescent="0.2">
      <c r="A264" s="133">
        <f t="shared" si="85"/>
        <v>113</v>
      </c>
      <c r="B264" s="15" t="s">
        <v>62</v>
      </c>
      <c r="C264" s="15"/>
      <c r="D264" s="212" t="s">
        <v>84</v>
      </c>
      <c r="E264" s="31" t="s">
        <v>30</v>
      </c>
      <c r="F264" s="16">
        <f>(26.9/4+1)*2*0.5</f>
        <v>7.7249999999999996</v>
      </c>
      <c r="G264" s="17">
        <v>0.1</v>
      </c>
      <c r="H264" s="195">
        <f t="shared" ref="H264" si="116">F264*(1+G264)</f>
        <v>8.4975000000000005</v>
      </c>
      <c r="I264" s="18" t="s">
        <v>24</v>
      </c>
      <c r="J264" s="19">
        <f>J$18</f>
        <v>0</v>
      </c>
      <c r="K264" s="94">
        <f t="shared" ref="K264" si="117">J264*H264</f>
        <v>0</v>
      </c>
      <c r="L264" s="93"/>
    </row>
    <row r="265" spans="1:12" s="5" customFormat="1" x14ac:dyDescent="0.2">
      <c r="A265" s="133" t="str">
        <f t="shared" si="85"/>
        <v/>
      </c>
      <c r="B265" s="15"/>
      <c r="C265" s="15"/>
      <c r="D265" s="194"/>
      <c r="E265" s="208" t="s">
        <v>85</v>
      </c>
      <c r="F265" s="16"/>
      <c r="G265" s="17"/>
      <c r="H265" s="195"/>
      <c r="I265" s="18"/>
      <c r="J265" s="19"/>
      <c r="K265" s="94"/>
      <c r="L265" s="93"/>
    </row>
    <row r="266" spans="1:12" s="5" customFormat="1" x14ac:dyDescent="0.2">
      <c r="A266" s="133">
        <f t="shared" si="85"/>
        <v>114</v>
      </c>
      <c r="B266" s="15" t="s">
        <v>62</v>
      </c>
      <c r="C266" s="15"/>
      <c r="D266" s="35"/>
      <c r="E266" s="31" t="s">
        <v>80</v>
      </c>
      <c r="F266" s="16">
        <v>26.9</v>
      </c>
      <c r="G266" s="17">
        <v>0.1</v>
      </c>
      <c r="H266" s="195">
        <f t="shared" ref="H266" si="118">F266*(1+G266)</f>
        <v>29.59</v>
      </c>
      <c r="I266" s="18" t="s">
        <v>24</v>
      </c>
      <c r="J266" s="19">
        <f>J$20</f>
        <v>0</v>
      </c>
      <c r="K266" s="94">
        <f t="shared" ref="K266" si="119">J266*H266</f>
        <v>0</v>
      </c>
      <c r="L266" s="93"/>
    </row>
    <row r="267" spans="1:12" s="5" customFormat="1" x14ac:dyDescent="0.2">
      <c r="A267" s="133" t="str">
        <f t="shared" si="85"/>
        <v/>
      </c>
      <c r="B267" s="15"/>
      <c r="C267" s="15"/>
      <c r="D267" s="194"/>
      <c r="E267" s="208" t="s">
        <v>86</v>
      </c>
      <c r="F267" s="16"/>
      <c r="G267" s="17"/>
      <c r="H267" s="195"/>
      <c r="I267" s="18"/>
      <c r="J267" s="19"/>
      <c r="K267" s="94"/>
      <c r="L267" s="93"/>
    </row>
    <row r="268" spans="1:12" s="5" customFormat="1" ht="16.5" thickBot="1" x14ac:dyDescent="0.25">
      <c r="A268" s="133">
        <f t="shared" si="85"/>
        <v>115</v>
      </c>
      <c r="B268" s="15" t="s">
        <v>62</v>
      </c>
      <c r="C268" s="15"/>
      <c r="D268" s="194"/>
      <c r="E268" s="31" t="s">
        <v>74</v>
      </c>
      <c r="F268" s="16">
        <v>341</v>
      </c>
      <c r="G268" s="17">
        <v>0.1</v>
      </c>
      <c r="H268" s="195">
        <f>F268*(1+G268)</f>
        <v>375.1</v>
      </c>
      <c r="I268" s="18" t="s">
        <v>16</v>
      </c>
      <c r="J268" s="19">
        <f>J$22</f>
        <v>0</v>
      </c>
      <c r="K268" s="94">
        <f>J268*H268</f>
        <v>0</v>
      </c>
      <c r="L268" s="93"/>
    </row>
    <row r="269" spans="1:12" s="5" customFormat="1" ht="16.5" thickBot="1" x14ac:dyDescent="0.25">
      <c r="A269" s="133" t="str">
        <f t="shared" si="85"/>
        <v/>
      </c>
      <c r="B269" s="15"/>
      <c r="C269" s="189"/>
      <c r="D269" s="190"/>
      <c r="E269" s="211" t="s">
        <v>108</v>
      </c>
      <c r="F269" s="192"/>
      <c r="G269" s="193"/>
      <c r="H269" s="29"/>
      <c r="I269" s="30"/>
      <c r="J269" s="19"/>
      <c r="K269" s="94"/>
      <c r="L269" s="93"/>
    </row>
    <row r="270" spans="1:12" s="5" customFormat="1" x14ac:dyDescent="0.2">
      <c r="A270" s="133" t="str">
        <f t="shared" si="85"/>
        <v/>
      </c>
      <c r="B270" s="15"/>
      <c r="C270" s="189"/>
      <c r="D270" s="190"/>
      <c r="E270" s="208" t="s">
        <v>82</v>
      </c>
      <c r="F270" s="192"/>
      <c r="G270" s="193"/>
      <c r="H270" s="29"/>
      <c r="I270" s="30"/>
      <c r="J270" s="19"/>
      <c r="K270" s="94"/>
      <c r="L270" s="93"/>
    </row>
    <row r="271" spans="1:12" s="5" customFormat="1" ht="47.25" x14ac:dyDescent="0.2">
      <c r="A271" s="133">
        <f t="shared" ref="A271:A334" si="120">IF(F271&lt;&gt;"",1+MAX(A258:A270),"")</f>
        <v>116</v>
      </c>
      <c r="B271" s="15" t="s">
        <v>62</v>
      </c>
      <c r="C271" s="15" t="s">
        <v>53</v>
      </c>
      <c r="D271" s="194"/>
      <c r="E271" s="31" t="s">
        <v>126</v>
      </c>
      <c r="F271" s="16">
        <f>22.6*12.67</f>
        <v>286.34200000000004</v>
      </c>
      <c r="G271" s="17">
        <v>0.1</v>
      </c>
      <c r="H271" s="195">
        <f t="shared" si="102"/>
        <v>314.97620000000006</v>
      </c>
      <c r="I271" s="18" t="s">
        <v>16</v>
      </c>
      <c r="J271" s="104">
        <v>0</v>
      </c>
      <c r="K271" s="94">
        <f t="shared" si="103"/>
        <v>0</v>
      </c>
      <c r="L271" s="93"/>
    </row>
    <row r="272" spans="1:12" s="5" customFormat="1" x14ac:dyDescent="0.2">
      <c r="A272" s="133" t="str">
        <f t="shared" si="120"/>
        <v/>
      </c>
      <c r="B272" s="15"/>
      <c r="C272" s="15"/>
      <c r="D272" s="194"/>
      <c r="E272" s="208" t="s">
        <v>81</v>
      </c>
      <c r="F272" s="16"/>
      <c r="G272" s="17"/>
      <c r="H272" s="195"/>
      <c r="I272" s="18"/>
      <c r="J272" s="19"/>
      <c r="K272" s="94"/>
      <c r="L272" s="93"/>
    </row>
    <row r="273" spans="1:12" s="5" customFormat="1" ht="31.5" x14ac:dyDescent="0.2">
      <c r="A273" s="133">
        <f t="shared" si="120"/>
        <v>117</v>
      </c>
      <c r="B273" s="15" t="s">
        <v>62</v>
      </c>
      <c r="C273" s="15"/>
      <c r="D273" s="194"/>
      <c r="E273" s="31" t="s">
        <v>77</v>
      </c>
      <c r="F273" s="16">
        <f>22.6*2</f>
        <v>45.2</v>
      </c>
      <c r="G273" s="17">
        <v>0.1</v>
      </c>
      <c r="H273" s="195">
        <f t="shared" ref="H273" si="121">F273*(1+G273)</f>
        <v>49.720000000000006</v>
      </c>
      <c r="I273" s="18" t="s">
        <v>24</v>
      </c>
      <c r="J273" s="19">
        <f>J$16</f>
        <v>0</v>
      </c>
      <c r="K273" s="94">
        <f t="shared" ref="K273" si="122">J273*H273</f>
        <v>0</v>
      </c>
      <c r="L273" s="93"/>
    </row>
    <row r="274" spans="1:12" s="5" customFormat="1" x14ac:dyDescent="0.2">
      <c r="A274" s="133" t="str">
        <f t="shared" si="120"/>
        <v/>
      </c>
      <c r="B274" s="15"/>
      <c r="C274" s="15"/>
      <c r="D274" s="194"/>
      <c r="E274" s="208" t="s">
        <v>83</v>
      </c>
      <c r="F274" s="16"/>
      <c r="G274" s="17"/>
      <c r="H274" s="195"/>
      <c r="I274" s="18"/>
      <c r="J274" s="19"/>
      <c r="K274" s="94"/>
      <c r="L274" s="93"/>
    </row>
    <row r="275" spans="1:12" s="5" customFormat="1" ht="31.5" x14ac:dyDescent="0.2">
      <c r="A275" s="133">
        <f t="shared" si="120"/>
        <v>118</v>
      </c>
      <c r="B275" s="15" t="s">
        <v>62</v>
      </c>
      <c r="C275" s="15"/>
      <c r="D275" s="212" t="s">
        <v>84</v>
      </c>
      <c r="E275" s="31" t="s">
        <v>30</v>
      </c>
      <c r="F275" s="16">
        <f>(22.6/4+1)*2*0.5</f>
        <v>6.65</v>
      </c>
      <c r="G275" s="17">
        <v>0.1</v>
      </c>
      <c r="H275" s="195">
        <f t="shared" ref="H275" si="123">F275*(1+G275)</f>
        <v>7.3150000000000013</v>
      </c>
      <c r="I275" s="18" t="s">
        <v>24</v>
      </c>
      <c r="J275" s="19">
        <f>J$18</f>
        <v>0</v>
      </c>
      <c r="K275" s="94">
        <f t="shared" ref="K275" si="124">J275*H275</f>
        <v>0</v>
      </c>
      <c r="L275" s="93"/>
    </row>
    <row r="276" spans="1:12" s="5" customFormat="1" x14ac:dyDescent="0.2">
      <c r="A276" s="133" t="str">
        <f t="shared" si="120"/>
        <v/>
      </c>
      <c r="B276" s="15"/>
      <c r="C276" s="15"/>
      <c r="D276" s="194"/>
      <c r="E276" s="208" t="s">
        <v>85</v>
      </c>
      <c r="F276" s="16"/>
      <c r="G276" s="17"/>
      <c r="H276" s="195"/>
      <c r="I276" s="18"/>
      <c r="J276" s="19"/>
      <c r="K276" s="94"/>
      <c r="L276" s="93"/>
    </row>
    <row r="277" spans="1:12" s="5" customFormat="1" x14ac:dyDescent="0.2">
      <c r="A277" s="133">
        <f t="shared" si="120"/>
        <v>119</v>
      </c>
      <c r="B277" s="15" t="s">
        <v>62</v>
      </c>
      <c r="C277" s="15"/>
      <c r="D277" s="35"/>
      <c r="E277" s="31" t="s">
        <v>80</v>
      </c>
      <c r="F277" s="16">
        <v>22.6</v>
      </c>
      <c r="G277" s="17">
        <v>0.1</v>
      </c>
      <c r="H277" s="195">
        <f t="shared" ref="H277" si="125">F277*(1+G277)</f>
        <v>24.860000000000003</v>
      </c>
      <c r="I277" s="18" t="s">
        <v>24</v>
      </c>
      <c r="J277" s="19">
        <f>J$20</f>
        <v>0</v>
      </c>
      <c r="K277" s="94">
        <f t="shared" ref="K277" si="126">J277*H277</f>
        <v>0</v>
      </c>
      <c r="L277" s="93"/>
    </row>
    <row r="278" spans="1:12" s="5" customFormat="1" x14ac:dyDescent="0.2">
      <c r="A278" s="133" t="str">
        <f t="shared" si="120"/>
        <v/>
      </c>
      <c r="B278" s="15"/>
      <c r="C278" s="15"/>
      <c r="D278" s="194"/>
      <c r="E278" s="208" t="s">
        <v>86</v>
      </c>
      <c r="F278" s="16"/>
      <c r="G278" s="17"/>
      <c r="H278" s="195"/>
      <c r="I278" s="18"/>
      <c r="J278" s="19"/>
      <c r="K278" s="94"/>
      <c r="L278" s="93"/>
    </row>
    <row r="279" spans="1:12" s="5" customFormat="1" ht="16.5" thickBot="1" x14ac:dyDescent="0.25">
      <c r="A279" s="133">
        <f t="shared" si="120"/>
        <v>120</v>
      </c>
      <c r="B279" s="15" t="s">
        <v>62</v>
      </c>
      <c r="C279" s="15"/>
      <c r="D279" s="194"/>
      <c r="E279" s="31" t="s">
        <v>74</v>
      </c>
      <c r="F279" s="16">
        <v>286</v>
      </c>
      <c r="G279" s="17">
        <v>0.1</v>
      </c>
      <c r="H279" s="195">
        <f>F279*(1+G279)</f>
        <v>314.60000000000002</v>
      </c>
      <c r="I279" s="18" t="s">
        <v>16</v>
      </c>
      <c r="J279" s="19">
        <f>J$22</f>
        <v>0</v>
      </c>
      <c r="K279" s="94">
        <f>J279*H279</f>
        <v>0</v>
      </c>
      <c r="L279" s="93"/>
    </row>
    <row r="280" spans="1:12" s="5" customFormat="1" ht="16.5" thickBot="1" x14ac:dyDescent="0.25">
      <c r="A280" s="133" t="str">
        <f t="shared" si="120"/>
        <v/>
      </c>
      <c r="B280" s="15"/>
      <c r="C280" s="189"/>
      <c r="D280" s="190"/>
      <c r="E280" s="211" t="s">
        <v>109</v>
      </c>
      <c r="F280" s="192"/>
      <c r="G280" s="193"/>
      <c r="H280" s="29"/>
      <c r="I280" s="30"/>
      <c r="J280" s="19"/>
      <c r="K280" s="94"/>
      <c r="L280" s="93"/>
    </row>
    <row r="281" spans="1:12" s="5" customFormat="1" x14ac:dyDescent="0.2">
      <c r="A281" s="133" t="str">
        <f t="shared" si="120"/>
        <v/>
      </c>
      <c r="B281" s="15"/>
      <c r="C281" s="189"/>
      <c r="D281" s="190"/>
      <c r="E281" s="208" t="s">
        <v>82</v>
      </c>
      <c r="F281" s="192"/>
      <c r="G281" s="193"/>
      <c r="H281" s="29"/>
      <c r="I281" s="30"/>
      <c r="J281" s="19"/>
      <c r="K281" s="94"/>
      <c r="L281" s="93"/>
    </row>
    <row r="282" spans="1:12" s="5" customFormat="1" ht="47.25" x14ac:dyDescent="0.2">
      <c r="A282" s="133">
        <f t="shared" si="120"/>
        <v>121</v>
      </c>
      <c r="B282" s="15" t="s">
        <v>62</v>
      </c>
      <c r="C282" s="15" t="s">
        <v>54</v>
      </c>
      <c r="D282" s="194"/>
      <c r="E282" s="31" t="s">
        <v>121</v>
      </c>
      <c r="F282" s="16">
        <f>19.5*12.67</f>
        <v>247.065</v>
      </c>
      <c r="G282" s="17">
        <v>0.1</v>
      </c>
      <c r="H282" s="195">
        <f t="shared" si="102"/>
        <v>271.7715</v>
      </c>
      <c r="I282" s="18" t="s">
        <v>16</v>
      </c>
      <c r="J282" s="19">
        <f>J$25</f>
        <v>0</v>
      </c>
      <c r="K282" s="94">
        <f t="shared" si="103"/>
        <v>0</v>
      </c>
      <c r="L282" s="93"/>
    </row>
    <row r="283" spans="1:12" s="5" customFormat="1" x14ac:dyDescent="0.2">
      <c r="A283" s="133" t="str">
        <f t="shared" si="120"/>
        <v/>
      </c>
      <c r="B283" s="15"/>
      <c r="C283" s="15"/>
      <c r="D283" s="194"/>
      <c r="E283" s="208" t="s">
        <v>81</v>
      </c>
      <c r="F283" s="16"/>
      <c r="G283" s="17"/>
      <c r="H283" s="195"/>
      <c r="I283" s="18"/>
      <c r="J283" s="19"/>
      <c r="K283" s="94"/>
      <c r="L283" s="93"/>
    </row>
    <row r="284" spans="1:12" s="5" customFormat="1" ht="31.5" x14ac:dyDescent="0.2">
      <c r="A284" s="133">
        <f t="shared" si="120"/>
        <v>122</v>
      </c>
      <c r="B284" s="15" t="s">
        <v>62</v>
      </c>
      <c r="C284" s="15"/>
      <c r="D284" s="194"/>
      <c r="E284" s="31" t="s">
        <v>77</v>
      </c>
      <c r="F284" s="16">
        <f>19.5*2</f>
        <v>39</v>
      </c>
      <c r="G284" s="17">
        <v>0.1</v>
      </c>
      <c r="H284" s="195">
        <f t="shared" ref="H284" si="127">F284*(1+G284)</f>
        <v>42.900000000000006</v>
      </c>
      <c r="I284" s="18" t="s">
        <v>24</v>
      </c>
      <c r="J284" s="19">
        <f>J$16</f>
        <v>0</v>
      </c>
      <c r="K284" s="94">
        <f t="shared" ref="K284" si="128">J284*H284</f>
        <v>0</v>
      </c>
      <c r="L284" s="93"/>
    </row>
    <row r="285" spans="1:12" s="5" customFormat="1" x14ac:dyDescent="0.2">
      <c r="A285" s="133" t="str">
        <f t="shared" si="120"/>
        <v/>
      </c>
      <c r="B285" s="15"/>
      <c r="C285" s="15"/>
      <c r="D285" s="194"/>
      <c r="E285" s="208" t="s">
        <v>83</v>
      </c>
      <c r="F285" s="16"/>
      <c r="G285" s="17"/>
      <c r="H285" s="195"/>
      <c r="I285" s="18"/>
      <c r="J285" s="19"/>
      <c r="K285" s="94"/>
      <c r="L285" s="93"/>
    </row>
    <row r="286" spans="1:12" s="5" customFormat="1" ht="31.5" x14ac:dyDescent="0.2">
      <c r="A286" s="133">
        <f t="shared" si="120"/>
        <v>123</v>
      </c>
      <c r="B286" s="15" t="s">
        <v>62</v>
      </c>
      <c r="C286" s="15"/>
      <c r="D286" s="212" t="s">
        <v>84</v>
      </c>
      <c r="E286" s="31" t="s">
        <v>30</v>
      </c>
      <c r="F286" s="16">
        <f>(19.5/4+1)*2*0.5</f>
        <v>5.875</v>
      </c>
      <c r="G286" s="17">
        <v>0.1</v>
      </c>
      <c r="H286" s="195">
        <f t="shared" ref="H286" si="129">F286*(1+G286)</f>
        <v>6.4625000000000004</v>
      </c>
      <c r="I286" s="18" t="s">
        <v>24</v>
      </c>
      <c r="J286" s="19">
        <f>J$18</f>
        <v>0</v>
      </c>
      <c r="K286" s="94">
        <f t="shared" ref="K286" si="130">J286*H286</f>
        <v>0</v>
      </c>
      <c r="L286" s="93"/>
    </row>
    <row r="287" spans="1:12" s="5" customFormat="1" x14ac:dyDescent="0.2">
      <c r="A287" s="133" t="str">
        <f t="shared" si="120"/>
        <v/>
      </c>
      <c r="B287" s="15"/>
      <c r="C287" s="15"/>
      <c r="D287" s="194"/>
      <c r="E287" s="208" t="s">
        <v>85</v>
      </c>
      <c r="F287" s="16"/>
      <c r="G287" s="17"/>
      <c r="H287" s="195"/>
      <c r="I287" s="18"/>
      <c r="J287" s="19"/>
      <c r="K287" s="94"/>
      <c r="L287" s="93"/>
    </row>
    <row r="288" spans="1:12" s="5" customFormat="1" x14ac:dyDescent="0.2">
      <c r="A288" s="133">
        <f t="shared" si="120"/>
        <v>124</v>
      </c>
      <c r="B288" s="15" t="s">
        <v>62</v>
      </c>
      <c r="C288" s="15"/>
      <c r="D288" s="35"/>
      <c r="E288" s="31" t="s">
        <v>80</v>
      </c>
      <c r="F288" s="16">
        <v>19.5</v>
      </c>
      <c r="G288" s="17">
        <v>0.1</v>
      </c>
      <c r="H288" s="195">
        <f t="shared" ref="H288" si="131">F288*(1+G288)</f>
        <v>21.450000000000003</v>
      </c>
      <c r="I288" s="18" t="s">
        <v>24</v>
      </c>
      <c r="J288" s="19">
        <f>J$20</f>
        <v>0</v>
      </c>
      <c r="K288" s="94">
        <f t="shared" ref="K288" si="132">J288*H288</f>
        <v>0</v>
      </c>
      <c r="L288" s="93"/>
    </row>
    <row r="289" spans="1:12" s="5" customFormat="1" x14ac:dyDescent="0.2">
      <c r="A289" s="133" t="str">
        <f t="shared" si="120"/>
        <v/>
      </c>
      <c r="B289" s="15"/>
      <c r="C289" s="15"/>
      <c r="D289" s="194"/>
      <c r="E289" s="208" t="s">
        <v>86</v>
      </c>
      <c r="F289" s="16"/>
      <c r="G289" s="17"/>
      <c r="H289" s="195"/>
      <c r="I289" s="18"/>
      <c r="J289" s="19"/>
      <c r="K289" s="94"/>
      <c r="L289" s="93"/>
    </row>
    <row r="290" spans="1:12" s="5" customFormat="1" ht="16.5" thickBot="1" x14ac:dyDescent="0.25">
      <c r="A290" s="133">
        <f t="shared" si="120"/>
        <v>125</v>
      </c>
      <c r="B290" s="15" t="s">
        <v>62</v>
      </c>
      <c r="C290" s="15"/>
      <c r="D290" s="194"/>
      <c r="E290" s="31" t="s">
        <v>74</v>
      </c>
      <c r="F290" s="16">
        <v>247</v>
      </c>
      <c r="G290" s="17">
        <v>0.1</v>
      </c>
      <c r="H290" s="195">
        <f>F290*(1+G290)</f>
        <v>271.70000000000005</v>
      </c>
      <c r="I290" s="18" t="s">
        <v>16</v>
      </c>
      <c r="J290" s="19">
        <f>J$22</f>
        <v>0</v>
      </c>
      <c r="K290" s="94">
        <f>J290*H290</f>
        <v>0</v>
      </c>
      <c r="L290" s="93"/>
    </row>
    <row r="291" spans="1:12" s="5" customFormat="1" ht="16.5" thickBot="1" x14ac:dyDescent="0.25">
      <c r="A291" s="133" t="str">
        <f t="shared" si="120"/>
        <v/>
      </c>
      <c r="B291" s="15"/>
      <c r="C291" s="189"/>
      <c r="D291" s="190"/>
      <c r="E291" s="211" t="s">
        <v>110</v>
      </c>
      <c r="F291" s="192"/>
      <c r="G291" s="193"/>
      <c r="H291" s="29"/>
      <c r="I291" s="30"/>
      <c r="J291" s="19"/>
      <c r="K291" s="94"/>
      <c r="L291" s="93"/>
    </row>
    <row r="292" spans="1:12" s="5" customFormat="1" x14ac:dyDescent="0.2">
      <c r="A292" s="133" t="str">
        <f t="shared" si="120"/>
        <v/>
      </c>
      <c r="B292" s="15"/>
      <c r="C292" s="189"/>
      <c r="D292" s="190"/>
      <c r="E292" s="208" t="s">
        <v>82</v>
      </c>
      <c r="F292" s="192"/>
      <c r="G292" s="193"/>
      <c r="H292" s="29"/>
      <c r="I292" s="30"/>
      <c r="J292" s="19"/>
      <c r="K292" s="94"/>
      <c r="L292" s="93"/>
    </row>
    <row r="293" spans="1:12" s="5" customFormat="1" ht="47.25" x14ac:dyDescent="0.2">
      <c r="A293" s="133">
        <f t="shared" si="120"/>
        <v>126</v>
      </c>
      <c r="B293" s="15" t="s">
        <v>62</v>
      </c>
      <c r="C293" s="15" t="s">
        <v>55</v>
      </c>
      <c r="D293" s="194"/>
      <c r="E293" s="31" t="s">
        <v>121</v>
      </c>
      <c r="F293" s="16">
        <f>22.3*12.67</f>
        <v>282.541</v>
      </c>
      <c r="G293" s="17">
        <v>0.1</v>
      </c>
      <c r="H293" s="195">
        <f t="shared" si="102"/>
        <v>310.79510000000005</v>
      </c>
      <c r="I293" s="18" t="s">
        <v>16</v>
      </c>
      <c r="J293" s="19">
        <f>J$25</f>
        <v>0</v>
      </c>
      <c r="K293" s="94">
        <f t="shared" si="103"/>
        <v>0</v>
      </c>
      <c r="L293" s="93"/>
    </row>
    <row r="294" spans="1:12" s="5" customFormat="1" x14ac:dyDescent="0.2">
      <c r="A294" s="133" t="str">
        <f t="shared" si="120"/>
        <v/>
      </c>
      <c r="B294" s="15"/>
      <c r="C294" s="15"/>
      <c r="D294" s="194"/>
      <c r="E294" s="208" t="s">
        <v>81</v>
      </c>
      <c r="F294" s="16"/>
      <c r="G294" s="17"/>
      <c r="H294" s="195"/>
      <c r="I294" s="18"/>
      <c r="J294" s="19"/>
      <c r="K294" s="94"/>
      <c r="L294" s="93"/>
    </row>
    <row r="295" spans="1:12" s="5" customFormat="1" ht="31.5" x14ac:dyDescent="0.2">
      <c r="A295" s="133">
        <f t="shared" si="120"/>
        <v>127</v>
      </c>
      <c r="B295" s="15" t="s">
        <v>62</v>
      </c>
      <c r="C295" s="15"/>
      <c r="D295" s="194"/>
      <c r="E295" s="31" t="s">
        <v>77</v>
      </c>
      <c r="F295" s="16">
        <f>22.3*2</f>
        <v>44.6</v>
      </c>
      <c r="G295" s="17">
        <v>0.1</v>
      </c>
      <c r="H295" s="195">
        <f t="shared" ref="H295" si="133">F295*(1+G295)</f>
        <v>49.06</v>
      </c>
      <c r="I295" s="18" t="s">
        <v>24</v>
      </c>
      <c r="J295" s="19">
        <f>J$16</f>
        <v>0</v>
      </c>
      <c r="K295" s="94">
        <f t="shared" ref="K295" si="134">J295*H295</f>
        <v>0</v>
      </c>
      <c r="L295" s="93"/>
    </row>
    <row r="296" spans="1:12" s="5" customFormat="1" x14ac:dyDescent="0.2">
      <c r="A296" s="133" t="str">
        <f t="shared" si="120"/>
        <v/>
      </c>
      <c r="B296" s="15"/>
      <c r="C296" s="15"/>
      <c r="D296" s="194"/>
      <c r="E296" s="208" t="s">
        <v>83</v>
      </c>
      <c r="F296" s="16"/>
      <c r="G296" s="17"/>
      <c r="H296" s="195"/>
      <c r="I296" s="18"/>
      <c r="J296" s="19"/>
      <c r="K296" s="94"/>
      <c r="L296" s="93"/>
    </row>
    <row r="297" spans="1:12" s="5" customFormat="1" ht="31.5" x14ac:dyDescent="0.2">
      <c r="A297" s="133">
        <f t="shared" si="120"/>
        <v>128</v>
      </c>
      <c r="B297" s="15" t="s">
        <v>62</v>
      </c>
      <c r="C297" s="15"/>
      <c r="D297" s="212" t="s">
        <v>84</v>
      </c>
      <c r="E297" s="31" t="s">
        <v>30</v>
      </c>
      <c r="F297" s="16">
        <f>(22.3/4+1)*2*0.5</f>
        <v>6.5750000000000002</v>
      </c>
      <c r="G297" s="17">
        <v>0.1</v>
      </c>
      <c r="H297" s="195">
        <f t="shared" ref="H297" si="135">F297*(1+G297)</f>
        <v>7.2325000000000008</v>
      </c>
      <c r="I297" s="18" t="s">
        <v>24</v>
      </c>
      <c r="J297" s="19">
        <f>J$18</f>
        <v>0</v>
      </c>
      <c r="K297" s="94">
        <f t="shared" ref="K297" si="136">J297*H297</f>
        <v>0</v>
      </c>
      <c r="L297" s="93"/>
    </row>
    <row r="298" spans="1:12" s="5" customFormat="1" x14ac:dyDescent="0.2">
      <c r="A298" s="133" t="str">
        <f t="shared" si="120"/>
        <v/>
      </c>
      <c r="B298" s="15"/>
      <c r="C298" s="15"/>
      <c r="D298" s="194"/>
      <c r="E298" s="208" t="s">
        <v>85</v>
      </c>
      <c r="F298" s="16"/>
      <c r="G298" s="17"/>
      <c r="H298" s="195"/>
      <c r="I298" s="18"/>
      <c r="J298" s="19"/>
      <c r="K298" s="94"/>
      <c r="L298" s="93"/>
    </row>
    <row r="299" spans="1:12" s="5" customFormat="1" x14ac:dyDescent="0.2">
      <c r="A299" s="133">
        <f t="shared" si="120"/>
        <v>129</v>
      </c>
      <c r="B299" s="15" t="s">
        <v>62</v>
      </c>
      <c r="C299" s="15"/>
      <c r="D299" s="35"/>
      <c r="E299" s="31" t="s">
        <v>80</v>
      </c>
      <c r="F299" s="16">
        <v>22.3</v>
      </c>
      <c r="G299" s="17">
        <v>0.1</v>
      </c>
      <c r="H299" s="195">
        <f t="shared" ref="H299" si="137">F299*(1+G299)</f>
        <v>24.53</v>
      </c>
      <c r="I299" s="18" t="s">
        <v>24</v>
      </c>
      <c r="J299" s="19">
        <f>J$20</f>
        <v>0</v>
      </c>
      <c r="K299" s="94">
        <f t="shared" ref="K299" si="138">J299*H299</f>
        <v>0</v>
      </c>
      <c r="L299" s="93"/>
    </row>
    <row r="300" spans="1:12" s="5" customFormat="1" x14ac:dyDescent="0.2">
      <c r="A300" s="133" t="str">
        <f t="shared" si="120"/>
        <v/>
      </c>
      <c r="B300" s="15"/>
      <c r="C300" s="15"/>
      <c r="D300" s="194"/>
      <c r="E300" s="208" t="s">
        <v>86</v>
      </c>
      <c r="F300" s="16"/>
      <c r="G300" s="17"/>
      <c r="H300" s="195"/>
      <c r="I300" s="18"/>
      <c r="J300" s="19"/>
      <c r="K300" s="94"/>
      <c r="L300" s="93"/>
    </row>
    <row r="301" spans="1:12" s="5" customFormat="1" ht="16.5" thickBot="1" x14ac:dyDescent="0.25">
      <c r="A301" s="133">
        <f t="shared" si="120"/>
        <v>130</v>
      </c>
      <c r="B301" s="15" t="s">
        <v>62</v>
      </c>
      <c r="C301" s="15"/>
      <c r="D301" s="194"/>
      <c r="E301" s="31" t="s">
        <v>74</v>
      </c>
      <c r="F301" s="16">
        <f>283</f>
        <v>283</v>
      </c>
      <c r="G301" s="17">
        <v>0.1</v>
      </c>
      <c r="H301" s="195">
        <f>F301*(1+G301)</f>
        <v>311.3</v>
      </c>
      <c r="I301" s="18" t="s">
        <v>16</v>
      </c>
      <c r="J301" s="19">
        <f>J$22</f>
        <v>0</v>
      </c>
      <c r="K301" s="94">
        <f>J301*H301</f>
        <v>0</v>
      </c>
      <c r="L301" s="93"/>
    </row>
    <row r="302" spans="1:12" s="5" customFormat="1" ht="16.5" thickBot="1" x14ac:dyDescent="0.25">
      <c r="A302" s="133" t="str">
        <f t="shared" si="120"/>
        <v/>
      </c>
      <c r="B302" s="15"/>
      <c r="C302" s="189"/>
      <c r="D302" s="190"/>
      <c r="E302" s="211" t="s">
        <v>111</v>
      </c>
      <c r="F302" s="192"/>
      <c r="G302" s="193"/>
      <c r="H302" s="29"/>
      <c r="I302" s="30"/>
      <c r="J302" s="19"/>
      <c r="K302" s="94"/>
      <c r="L302" s="93"/>
    </row>
    <row r="303" spans="1:12" s="5" customFormat="1" x14ac:dyDescent="0.2">
      <c r="A303" s="133" t="str">
        <f t="shared" si="120"/>
        <v/>
      </c>
      <c r="B303" s="15"/>
      <c r="C303" s="189"/>
      <c r="D303" s="190"/>
      <c r="E303" s="208" t="s">
        <v>82</v>
      </c>
      <c r="F303" s="192"/>
      <c r="G303" s="193"/>
      <c r="H303" s="29"/>
      <c r="I303" s="30"/>
      <c r="J303" s="19"/>
      <c r="K303" s="94"/>
      <c r="L303" s="93"/>
    </row>
    <row r="304" spans="1:12" s="5" customFormat="1" ht="47.25" x14ac:dyDescent="0.2">
      <c r="A304" s="133">
        <f t="shared" si="120"/>
        <v>131</v>
      </c>
      <c r="B304" s="15" t="s">
        <v>62</v>
      </c>
      <c r="C304" s="15" t="s">
        <v>56</v>
      </c>
      <c r="D304" s="194"/>
      <c r="E304" s="31" t="s">
        <v>127</v>
      </c>
      <c r="F304" s="16">
        <f>19.5*12.67</f>
        <v>247.065</v>
      </c>
      <c r="G304" s="17">
        <v>0.1</v>
      </c>
      <c r="H304" s="195">
        <f t="shared" si="102"/>
        <v>271.7715</v>
      </c>
      <c r="I304" s="18" t="s">
        <v>16</v>
      </c>
      <c r="J304" s="104">
        <v>0</v>
      </c>
      <c r="K304" s="94">
        <f t="shared" si="103"/>
        <v>0</v>
      </c>
      <c r="L304" s="93"/>
    </row>
    <row r="305" spans="1:12" s="5" customFormat="1" x14ac:dyDescent="0.2">
      <c r="A305" s="133" t="str">
        <f t="shared" si="120"/>
        <v/>
      </c>
      <c r="B305" s="15"/>
      <c r="C305" s="15"/>
      <c r="D305" s="194"/>
      <c r="E305" s="208" t="s">
        <v>81</v>
      </c>
      <c r="F305" s="16"/>
      <c r="G305" s="17"/>
      <c r="H305" s="195"/>
      <c r="I305" s="18"/>
      <c r="J305" s="19"/>
      <c r="K305" s="94"/>
      <c r="L305" s="93"/>
    </row>
    <row r="306" spans="1:12" s="5" customFormat="1" ht="31.5" x14ac:dyDescent="0.2">
      <c r="A306" s="133">
        <f t="shared" si="120"/>
        <v>132</v>
      </c>
      <c r="B306" s="15" t="s">
        <v>62</v>
      </c>
      <c r="C306" s="15"/>
      <c r="D306" s="194"/>
      <c r="E306" s="31" t="s">
        <v>77</v>
      </c>
      <c r="F306" s="16">
        <f>19.5*2</f>
        <v>39</v>
      </c>
      <c r="G306" s="17">
        <v>0.1</v>
      </c>
      <c r="H306" s="195">
        <f t="shared" ref="H306" si="139">F306*(1+G306)</f>
        <v>42.900000000000006</v>
      </c>
      <c r="I306" s="18" t="s">
        <v>24</v>
      </c>
      <c r="J306" s="19">
        <f>J$16</f>
        <v>0</v>
      </c>
      <c r="K306" s="94">
        <f t="shared" ref="K306" si="140">J306*H306</f>
        <v>0</v>
      </c>
      <c r="L306" s="93"/>
    </row>
    <row r="307" spans="1:12" s="5" customFormat="1" x14ac:dyDescent="0.2">
      <c r="A307" s="133" t="str">
        <f t="shared" si="120"/>
        <v/>
      </c>
      <c r="B307" s="15"/>
      <c r="C307" s="15"/>
      <c r="D307" s="194"/>
      <c r="E307" s="208" t="s">
        <v>83</v>
      </c>
      <c r="F307" s="16"/>
      <c r="G307" s="17"/>
      <c r="H307" s="195"/>
      <c r="I307" s="18"/>
      <c r="J307" s="19"/>
      <c r="K307" s="94"/>
      <c r="L307" s="93"/>
    </row>
    <row r="308" spans="1:12" s="5" customFormat="1" ht="31.5" x14ac:dyDescent="0.2">
      <c r="A308" s="133">
        <f t="shared" si="120"/>
        <v>133</v>
      </c>
      <c r="B308" s="15" t="s">
        <v>62</v>
      </c>
      <c r="C308" s="15"/>
      <c r="D308" s="212" t="s">
        <v>84</v>
      </c>
      <c r="E308" s="31" t="s">
        <v>30</v>
      </c>
      <c r="F308" s="16">
        <f>(19.5/4+1)*2*0.5</f>
        <v>5.875</v>
      </c>
      <c r="G308" s="17">
        <v>0.1</v>
      </c>
      <c r="H308" s="195">
        <f t="shared" ref="H308" si="141">F308*(1+G308)</f>
        <v>6.4625000000000004</v>
      </c>
      <c r="I308" s="18" t="s">
        <v>24</v>
      </c>
      <c r="J308" s="19">
        <f>J$18</f>
        <v>0</v>
      </c>
      <c r="K308" s="94">
        <f t="shared" ref="K308" si="142">J308*H308</f>
        <v>0</v>
      </c>
      <c r="L308" s="93"/>
    </row>
    <row r="309" spans="1:12" s="5" customFormat="1" x14ac:dyDescent="0.2">
      <c r="A309" s="133" t="str">
        <f t="shared" si="120"/>
        <v/>
      </c>
      <c r="B309" s="15"/>
      <c r="C309" s="15"/>
      <c r="D309" s="194"/>
      <c r="E309" s="208" t="s">
        <v>85</v>
      </c>
      <c r="F309" s="16"/>
      <c r="G309" s="17"/>
      <c r="H309" s="195"/>
      <c r="I309" s="18"/>
      <c r="J309" s="19"/>
      <c r="K309" s="94"/>
      <c r="L309" s="93"/>
    </row>
    <row r="310" spans="1:12" s="5" customFormat="1" x14ac:dyDescent="0.2">
      <c r="A310" s="133">
        <f t="shared" si="120"/>
        <v>134</v>
      </c>
      <c r="B310" s="15" t="s">
        <v>62</v>
      </c>
      <c r="C310" s="15"/>
      <c r="D310" s="35"/>
      <c r="E310" s="31" t="s">
        <v>80</v>
      </c>
      <c r="F310" s="16">
        <v>19.5</v>
      </c>
      <c r="G310" s="17">
        <v>0.1</v>
      </c>
      <c r="H310" s="195">
        <f t="shared" ref="H310" si="143">F310*(1+G310)</f>
        <v>21.450000000000003</v>
      </c>
      <c r="I310" s="18" t="s">
        <v>24</v>
      </c>
      <c r="J310" s="19">
        <f>J$20</f>
        <v>0</v>
      </c>
      <c r="K310" s="94">
        <f t="shared" ref="K310" si="144">J310*H310</f>
        <v>0</v>
      </c>
      <c r="L310" s="93"/>
    </row>
    <row r="311" spans="1:12" s="5" customFormat="1" x14ac:dyDescent="0.2">
      <c r="A311" s="133" t="str">
        <f t="shared" si="120"/>
        <v/>
      </c>
      <c r="B311" s="15"/>
      <c r="C311" s="15"/>
      <c r="D311" s="194"/>
      <c r="E311" s="208" t="s">
        <v>86</v>
      </c>
      <c r="F311" s="16"/>
      <c r="G311" s="17"/>
      <c r="H311" s="195"/>
      <c r="I311" s="18"/>
      <c r="J311" s="19"/>
      <c r="K311" s="94"/>
      <c r="L311" s="93"/>
    </row>
    <row r="312" spans="1:12" s="5" customFormat="1" ht="16.5" thickBot="1" x14ac:dyDescent="0.25">
      <c r="A312" s="133">
        <f t="shared" si="120"/>
        <v>135</v>
      </c>
      <c r="B312" s="15" t="s">
        <v>62</v>
      </c>
      <c r="C312" s="15"/>
      <c r="D312" s="194"/>
      <c r="E312" s="31" t="s">
        <v>74</v>
      </c>
      <c r="F312" s="16">
        <v>247</v>
      </c>
      <c r="G312" s="17">
        <v>0.1</v>
      </c>
      <c r="H312" s="195">
        <f>F312*(1+G312)</f>
        <v>271.70000000000005</v>
      </c>
      <c r="I312" s="18" t="s">
        <v>16</v>
      </c>
      <c r="J312" s="19">
        <f>J$22</f>
        <v>0</v>
      </c>
      <c r="K312" s="94">
        <f>J312*H312</f>
        <v>0</v>
      </c>
      <c r="L312" s="93"/>
    </row>
    <row r="313" spans="1:12" s="5" customFormat="1" ht="16.5" thickBot="1" x14ac:dyDescent="0.25">
      <c r="A313" s="133" t="str">
        <f t="shared" si="120"/>
        <v/>
      </c>
      <c r="B313" s="15"/>
      <c r="C313" s="189"/>
      <c r="D313" s="190"/>
      <c r="E313" s="211" t="s">
        <v>112</v>
      </c>
      <c r="F313" s="192"/>
      <c r="G313" s="193"/>
      <c r="H313" s="29"/>
      <c r="I313" s="30"/>
      <c r="J313" s="19"/>
      <c r="K313" s="94"/>
      <c r="L313" s="93"/>
    </row>
    <row r="314" spans="1:12" s="5" customFormat="1" x14ac:dyDescent="0.2">
      <c r="A314" s="133" t="str">
        <f t="shared" si="120"/>
        <v/>
      </c>
      <c r="B314" s="15"/>
      <c r="C314" s="189"/>
      <c r="D314" s="190"/>
      <c r="E314" s="208" t="s">
        <v>82</v>
      </c>
      <c r="F314" s="192"/>
      <c r="G314" s="193"/>
      <c r="H314" s="29"/>
      <c r="I314" s="30"/>
      <c r="J314" s="19"/>
      <c r="K314" s="94"/>
      <c r="L314" s="93"/>
    </row>
    <row r="315" spans="1:12" s="5" customFormat="1" ht="47.25" x14ac:dyDescent="0.2">
      <c r="A315" s="133">
        <f t="shared" si="120"/>
        <v>136</v>
      </c>
      <c r="B315" s="15" t="s">
        <v>62</v>
      </c>
      <c r="C315" s="15" t="s">
        <v>57</v>
      </c>
      <c r="D315" s="194"/>
      <c r="E315" s="31" t="s">
        <v>125</v>
      </c>
      <c r="F315" s="16">
        <f>27.7*12.67</f>
        <v>350.959</v>
      </c>
      <c r="G315" s="17">
        <v>0.1</v>
      </c>
      <c r="H315" s="195">
        <f t="shared" si="102"/>
        <v>386.05490000000003</v>
      </c>
      <c r="I315" s="18" t="s">
        <v>16</v>
      </c>
      <c r="J315" s="19">
        <f>J$249</f>
        <v>0</v>
      </c>
      <c r="K315" s="94">
        <f t="shared" si="103"/>
        <v>0</v>
      </c>
      <c r="L315" s="93"/>
    </row>
    <row r="316" spans="1:12" s="5" customFormat="1" x14ac:dyDescent="0.2">
      <c r="A316" s="133" t="str">
        <f t="shared" si="120"/>
        <v/>
      </c>
      <c r="B316" s="15"/>
      <c r="C316" s="15"/>
      <c r="D316" s="194"/>
      <c r="E316" s="208" t="s">
        <v>81</v>
      </c>
      <c r="F316" s="16"/>
      <c r="G316" s="17"/>
      <c r="H316" s="195"/>
      <c r="I316" s="18"/>
      <c r="J316" s="19"/>
      <c r="K316" s="94"/>
      <c r="L316" s="93"/>
    </row>
    <row r="317" spans="1:12" s="5" customFormat="1" ht="31.5" x14ac:dyDescent="0.2">
      <c r="A317" s="133">
        <f t="shared" si="120"/>
        <v>137</v>
      </c>
      <c r="B317" s="15" t="s">
        <v>62</v>
      </c>
      <c r="C317" s="15"/>
      <c r="D317" s="194"/>
      <c r="E317" s="31" t="s">
        <v>77</v>
      </c>
      <c r="F317" s="16">
        <f>27.7*2</f>
        <v>55.4</v>
      </c>
      <c r="G317" s="17">
        <v>0.1</v>
      </c>
      <c r="H317" s="195">
        <f t="shared" ref="H317" si="145">F317*(1+G317)</f>
        <v>60.940000000000005</v>
      </c>
      <c r="I317" s="18" t="s">
        <v>24</v>
      </c>
      <c r="J317" s="19">
        <f>J$16</f>
        <v>0</v>
      </c>
      <c r="K317" s="94">
        <f t="shared" ref="K317" si="146">J317*H317</f>
        <v>0</v>
      </c>
      <c r="L317" s="93"/>
    </row>
    <row r="318" spans="1:12" s="5" customFormat="1" x14ac:dyDescent="0.2">
      <c r="A318" s="133" t="str">
        <f t="shared" si="120"/>
        <v/>
      </c>
      <c r="B318" s="15"/>
      <c r="C318" s="15"/>
      <c r="D318" s="194"/>
      <c r="E318" s="208" t="s">
        <v>83</v>
      </c>
      <c r="F318" s="16"/>
      <c r="G318" s="17"/>
      <c r="H318" s="195"/>
      <c r="I318" s="18"/>
      <c r="J318" s="19"/>
      <c r="K318" s="94"/>
      <c r="L318" s="93"/>
    </row>
    <row r="319" spans="1:12" s="5" customFormat="1" ht="31.5" x14ac:dyDescent="0.2">
      <c r="A319" s="133">
        <f t="shared" si="120"/>
        <v>138</v>
      </c>
      <c r="B319" s="15" t="s">
        <v>62</v>
      </c>
      <c r="C319" s="15"/>
      <c r="D319" s="212" t="s">
        <v>84</v>
      </c>
      <c r="E319" s="31" t="s">
        <v>30</v>
      </c>
      <c r="F319" s="16">
        <f>(27.7/4+1)*2*0.5</f>
        <v>7.9249999999999998</v>
      </c>
      <c r="G319" s="17">
        <v>0.1</v>
      </c>
      <c r="H319" s="195">
        <f t="shared" ref="H319" si="147">F319*(1+G319)</f>
        <v>8.7175000000000011</v>
      </c>
      <c r="I319" s="18" t="s">
        <v>24</v>
      </c>
      <c r="J319" s="19">
        <f>J$18</f>
        <v>0</v>
      </c>
      <c r="K319" s="94">
        <f t="shared" ref="K319" si="148">J319*H319</f>
        <v>0</v>
      </c>
      <c r="L319" s="93"/>
    </row>
    <row r="320" spans="1:12" s="5" customFormat="1" x14ac:dyDescent="0.2">
      <c r="A320" s="133" t="str">
        <f t="shared" si="120"/>
        <v/>
      </c>
      <c r="B320" s="15"/>
      <c r="C320" s="15"/>
      <c r="D320" s="194"/>
      <c r="E320" s="208" t="s">
        <v>85</v>
      </c>
      <c r="F320" s="16"/>
      <c r="G320" s="17"/>
      <c r="H320" s="195"/>
      <c r="I320" s="18"/>
      <c r="J320" s="19"/>
      <c r="K320" s="94"/>
      <c r="L320" s="93"/>
    </row>
    <row r="321" spans="1:12" s="5" customFormat="1" x14ac:dyDescent="0.2">
      <c r="A321" s="133">
        <f t="shared" si="120"/>
        <v>139</v>
      </c>
      <c r="B321" s="15" t="s">
        <v>62</v>
      </c>
      <c r="C321" s="15"/>
      <c r="D321" s="35"/>
      <c r="E321" s="31" t="s">
        <v>80</v>
      </c>
      <c r="F321" s="16">
        <f>27.7</f>
        <v>27.7</v>
      </c>
      <c r="G321" s="17">
        <v>0.1</v>
      </c>
      <c r="H321" s="195">
        <f t="shared" ref="H321" si="149">F321*(1+G321)</f>
        <v>30.470000000000002</v>
      </c>
      <c r="I321" s="18" t="s">
        <v>24</v>
      </c>
      <c r="J321" s="19">
        <f>J$20</f>
        <v>0</v>
      </c>
      <c r="K321" s="94">
        <f t="shared" ref="K321" si="150">J321*H321</f>
        <v>0</v>
      </c>
      <c r="L321" s="93"/>
    </row>
    <row r="322" spans="1:12" s="5" customFormat="1" x14ac:dyDescent="0.2">
      <c r="A322" s="133" t="str">
        <f t="shared" si="120"/>
        <v/>
      </c>
      <c r="B322" s="15"/>
      <c r="C322" s="15"/>
      <c r="D322" s="194"/>
      <c r="E322" s="208" t="s">
        <v>86</v>
      </c>
      <c r="F322" s="16"/>
      <c r="G322" s="17"/>
      <c r="H322" s="195"/>
      <c r="I322" s="18"/>
      <c r="J322" s="19"/>
      <c r="K322" s="94"/>
      <c r="L322" s="93"/>
    </row>
    <row r="323" spans="1:12" s="5" customFormat="1" ht="16.5" thickBot="1" x14ac:dyDescent="0.25">
      <c r="A323" s="133">
        <f t="shared" si="120"/>
        <v>140</v>
      </c>
      <c r="B323" s="15" t="s">
        <v>62</v>
      </c>
      <c r="C323" s="15"/>
      <c r="D323" s="194"/>
      <c r="E323" s="31" t="s">
        <v>74</v>
      </c>
      <c r="F323" s="16">
        <f>351</f>
        <v>351</v>
      </c>
      <c r="G323" s="17">
        <v>0.1</v>
      </c>
      <c r="H323" s="195">
        <f>F323*(1+G323)</f>
        <v>386.1</v>
      </c>
      <c r="I323" s="18" t="s">
        <v>16</v>
      </c>
      <c r="J323" s="19">
        <f>J$22</f>
        <v>0</v>
      </c>
      <c r="K323" s="94">
        <f>J323*H323</f>
        <v>0</v>
      </c>
      <c r="L323" s="93"/>
    </row>
    <row r="324" spans="1:12" s="5" customFormat="1" ht="16.5" thickBot="1" x14ac:dyDescent="0.25">
      <c r="A324" s="133" t="str">
        <f t="shared" si="120"/>
        <v/>
      </c>
      <c r="B324" s="15"/>
      <c r="C324" s="189"/>
      <c r="D324" s="190"/>
      <c r="E324" s="211" t="s">
        <v>113</v>
      </c>
      <c r="F324" s="192"/>
      <c r="G324" s="193"/>
      <c r="H324" s="29"/>
      <c r="I324" s="30"/>
      <c r="J324" s="19"/>
      <c r="K324" s="94"/>
      <c r="L324" s="93"/>
    </row>
    <row r="325" spans="1:12" s="5" customFormat="1" x14ac:dyDescent="0.2">
      <c r="A325" s="133" t="str">
        <f t="shared" si="120"/>
        <v/>
      </c>
      <c r="B325" s="15"/>
      <c r="C325" s="189"/>
      <c r="D325" s="190"/>
      <c r="E325" s="208" t="s">
        <v>82</v>
      </c>
      <c r="F325" s="192"/>
      <c r="G325" s="193"/>
      <c r="H325" s="29"/>
      <c r="I325" s="30"/>
      <c r="J325" s="19"/>
      <c r="K325" s="94"/>
      <c r="L325" s="93"/>
    </row>
    <row r="326" spans="1:12" s="5" customFormat="1" ht="47.25" x14ac:dyDescent="0.2">
      <c r="A326" s="133">
        <f t="shared" si="120"/>
        <v>141</v>
      </c>
      <c r="B326" s="15" t="s">
        <v>62</v>
      </c>
      <c r="C326" s="15" t="s">
        <v>59</v>
      </c>
      <c r="D326" s="194"/>
      <c r="E326" s="31" t="s">
        <v>125</v>
      </c>
      <c r="F326" s="16">
        <f>27.4*12.67</f>
        <v>347.15799999999996</v>
      </c>
      <c r="G326" s="17">
        <v>0.1</v>
      </c>
      <c r="H326" s="195">
        <f t="shared" si="102"/>
        <v>381.87379999999996</v>
      </c>
      <c r="I326" s="18" t="s">
        <v>16</v>
      </c>
      <c r="J326" s="19">
        <f>J$249</f>
        <v>0</v>
      </c>
      <c r="K326" s="94">
        <f t="shared" si="103"/>
        <v>0</v>
      </c>
      <c r="L326" s="93"/>
    </row>
    <row r="327" spans="1:12" s="5" customFormat="1" x14ac:dyDescent="0.2">
      <c r="A327" s="133" t="str">
        <f t="shared" si="120"/>
        <v/>
      </c>
      <c r="B327" s="15"/>
      <c r="C327" s="15"/>
      <c r="D327" s="194"/>
      <c r="E327" s="208" t="s">
        <v>81</v>
      </c>
      <c r="F327" s="16"/>
      <c r="G327" s="17"/>
      <c r="H327" s="195"/>
      <c r="I327" s="18"/>
      <c r="J327" s="19"/>
      <c r="K327" s="94"/>
      <c r="L327" s="93"/>
    </row>
    <row r="328" spans="1:12" s="5" customFormat="1" ht="31.5" x14ac:dyDescent="0.2">
      <c r="A328" s="133">
        <f t="shared" si="120"/>
        <v>142</v>
      </c>
      <c r="B328" s="15" t="s">
        <v>62</v>
      </c>
      <c r="C328" s="15"/>
      <c r="D328" s="194"/>
      <c r="E328" s="31" t="s">
        <v>77</v>
      </c>
      <c r="F328" s="16">
        <f>27.3*2</f>
        <v>54.6</v>
      </c>
      <c r="G328" s="17">
        <v>0.1</v>
      </c>
      <c r="H328" s="195">
        <f t="shared" ref="H328" si="151">F328*(1+G328)</f>
        <v>60.060000000000009</v>
      </c>
      <c r="I328" s="18" t="s">
        <v>24</v>
      </c>
      <c r="J328" s="19">
        <f>J$16</f>
        <v>0</v>
      </c>
      <c r="K328" s="94">
        <f t="shared" ref="K328" si="152">J328*H328</f>
        <v>0</v>
      </c>
      <c r="L328" s="93"/>
    </row>
    <row r="329" spans="1:12" s="5" customFormat="1" x14ac:dyDescent="0.2">
      <c r="A329" s="133" t="str">
        <f t="shared" si="120"/>
        <v/>
      </c>
      <c r="B329" s="15"/>
      <c r="C329" s="15"/>
      <c r="D329" s="194"/>
      <c r="E329" s="208" t="s">
        <v>83</v>
      </c>
      <c r="F329" s="16"/>
      <c r="G329" s="17"/>
      <c r="H329" s="195"/>
      <c r="I329" s="18"/>
      <c r="J329" s="19"/>
      <c r="K329" s="94"/>
      <c r="L329" s="93"/>
    </row>
    <row r="330" spans="1:12" s="5" customFormat="1" ht="31.5" x14ac:dyDescent="0.2">
      <c r="A330" s="133">
        <f t="shared" si="120"/>
        <v>143</v>
      </c>
      <c r="B330" s="15" t="s">
        <v>62</v>
      </c>
      <c r="C330" s="15"/>
      <c r="D330" s="212" t="s">
        <v>84</v>
      </c>
      <c r="E330" s="31" t="s">
        <v>30</v>
      </c>
      <c r="F330" s="16">
        <f>(27.3/4+1)*2*0.5</f>
        <v>7.8250000000000002</v>
      </c>
      <c r="G330" s="17">
        <v>0.1</v>
      </c>
      <c r="H330" s="195">
        <f t="shared" ref="H330" si="153">F330*(1+G330)</f>
        <v>8.6075000000000017</v>
      </c>
      <c r="I330" s="18" t="s">
        <v>24</v>
      </c>
      <c r="J330" s="19">
        <f>J$18</f>
        <v>0</v>
      </c>
      <c r="K330" s="94">
        <f t="shared" ref="K330" si="154">J330*H330</f>
        <v>0</v>
      </c>
      <c r="L330" s="93"/>
    </row>
    <row r="331" spans="1:12" s="5" customFormat="1" x14ac:dyDescent="0.2">
      <c r="A331" s="133" t="str">
        <f t="shared" si="120"/>
        <v/>
      </c>
      <c r="B331" s="15"/>
      <c r="C331" s="15"/>
      <c r="D331" s="194"/>
      <c r="E331" s="208" t="s">
        <v>85</v>
      </c>
      <c r="F331" s="16"/>
      <c r="G331" s="17"/>
      <c r="H331" s="195"/>
      <c r="I331" s="18"/>
      <c r="J331" s="19"/>
      <c r="K331" s="94"/>
      <c r="L331" s="93"/>
    </row>
    <row r="332" spans="1:12" s="5" customFormat="1" x14ac:dyDescent="0.2">
      <c r="A332" s="133">
        <f t="shared" si="120"/>
        <v>144</v>
      </c>
      <c r="B332" s="15" t="s">
        <v>62</v>
      </c>
      <c r="C332" s="15"/>
      <c r="D332" s="35"/>
      <c r="E332" s="31" t="s">
        <v>80</v>
      </c>
      <c r="F332" s="16">
        <v>27.3</v>
      </c>
      <c r="G332" s="17">
        <v>0.1</v>
      </c>
      <c r="H332" s="195">
        <f t="shared" ref="H332" si="155">F332*(1+G332)</f>
        <v>30.030000000000005</v>
      </c>
      <c r="I332" s="18" t="s">
        <v>24</v>
      </c>
      <c r="J332" s="19">
        <f>J$20</f>
        <v>0</v>
      </c>
      <c r="K332" s="94">
        <f t="shared" ref="K332" si="156">J332*H332</f>
        <v>0</v>
      </c>
      <c r="L332" s="93"/>
    </row>
    <row r="333" spans="1:12" s="5" customFormat="1" x14ac:dyDescent="0.2">
      <c r="A333" s="133" t="str">
        <f t="shared" si="120"/>
        <v/>
      </c>
      <c r="B333" s="15"/>
      <c r="C333" s="15"/>
      <c r="D333" s="194"/>
      <c r="E333" s="208" t="s">
        <v>86</v>
      </c>
      <c r="F333" s="16"/>
      <c r="G333" s="17"/>
      <c r="H333" s="195"/>
      <c r="I333" s="18"/>
      <c r="J333" s="19"/>
      <c r="K333" s="94"/>
      <c r="L333" s="93"/>
    </row>
    <row r="334" spans="1:12" s="5" customFormat="1" ht="16.5" thickBot="1" x14ac:dyDescent="0.25">
      <c r="A334" s="133">
        <f t="shared" si="120"/>
        <v>145</v>
      </c>
      <c r="B334" s="15" t="s">
        <v>62</v>
      </c>
      <c r="C334" s="15"/>
      <c r="D334" s="194"/>
      <c r="E334" s="31" t="s">
        <v>74</v>
      </c>
      <c r="F334" s="16">
        <v>347</v>
      </c>
      <c r="G334" s="17">
        <v>0.1</v>
      </c>
      <c r="H334" s="195">
        <f>F334*(1+G334)</f>
        <v>381.70000000000005</v>
      </c>
      <c r="I334" s="18" t="s">
        <v>16</v>
      </c>
      <c r="J334" s="19">
        <f>J$22</f>
        <v>0</v>
      </c>
      <c r="K334" s="94">
        <f>J334*H334</f>
        <v>0</v>
      </c>
      <c r="L334" s="93"/>
    </row>
    <row r="335" spans="1:12" s="5" customFormat="1" ht="16.5" thickBot="1" x14ac:dyDescent="0.25">
      <c r="A335" s="133" t="str">
        <f t="shared" ref="A335:A363" si="157">IF(F335&lt;&gt;"",1+MAX(A322:A334),"")</f>
        <v/>
      </c>
      <c r="B335" s="15"/>
      <c r="C335" s="189"/>
      <c r="D335" s="190"/>
      <c r="E335" s="211" t="s">
        <v>114</v>
      </c>
      <c r="F335" s="192"/>
      <c r="G335" s="193"/>
      <c r="H335" s="29"/>
      <c r="I335" s="30"/>
      <c r="J335" s="19"/>
      <c r="K335" s="94"/>
      <c r="L335" s="93"/>
    </row>
    <row r="336" spans="1:12" s="5" customFormat="1" x14ac:dyDescent="0.2">
      <c r="A336" s="133" t="str">
        <f t="shared" si="157"/>
        <v/>
      </c>
      <c r="B336" s="15"/>
      <c r="C336" s="189"/>
      <c r="D336" s="190"/>
      <c r="E336" s="208" t="s">
        <v>82</v>
      </c>
      <c r="F336" s="192"/>
      <c r="G336" s="193"/>
      <c r="H336" s="29"/>
      <c r="I336" s="30"/>
      <c r="J336" s="19"/>
      <c r="K336" s="94"/>
      <c r="L336" s="93"/>
    </row>
    <row r="337" spans="1:12" s="5" customFormat="1" ht="47.25" x14ac:dyDescent="0.2">
      <c r="A337" s="133">
        <f t="shared" si="157"/>
        <v>146</v>
      </c>
      <c r="B337" s="15" t="s">
        <v>62</v>
      </c>
      <c r="C337" s="15" t="s">
        <v>58</v>
      </c>
      <c r="D337" s="194"/>
      <c r="E337" s="31" t="s">
        <v>125</v>
      </c>
      <c r="F337" s="16">
        <f>27.4*12.67</f>
        <v>347.15799999999996</v>
      </c>
      <c r="G337" s="17">
        <v>0.1</v>
      </c>
      <c r="H337" s="195">
        <f t="shared" si="102"/>
        <v>381.87379999999996</v>
      </c>
      <c r="I337" s="18" t="s">
        <v>16</v>
      </c>
      <c r="J337" s="19">
        <f>J$249</f>
        <v>0</v>
      </c>
      <c r="K337" s="94">
        <f t="shared" si="103"/>
        <v>0</v>
      </c>
      <c r="L337" s="93"/>
    </row>
    <row r="338" spans="1:12" s="5" customFormat="1" x14ac:dyDescent="0.2">
      <c r="A338" s="133" t="str">
        <f t="shared" si="157"/>
        <v/>
      </c>
      <c r="B338" s="15"/>
      <c r="C338" s="15"/>
      <c r="D338" s="194"/>
      <c r="E338" s="208" t="s">
        <v>81</v>
      </c>
      <c r="F338" s="16"/>
      <c r="G338" s="17"/>
      <c r="H338" s="195"/>
      <c r="I338" s="18"/>
      <c r="J338" s="19"/>
      <c r="K338" s="94"/>
      <c r="L338" s="93"/>
    </row>
    <row r="339" spans="1:12" s="5" customFormat="1" ht="31.5" x14ac:dyDescent="0.2">
      <c r="A339" s="133">
        <f t="shared" si="157"/>
        <v>147</v>
      </c>
      <c r="B339" s="15" t="s">
        <v>62</v>
      </c>
      <c r="C339" s="15"/>
      <c r="D339" s="194"/>
      <c r="E339" s="31" t="s">
        <v>77</v>
      </c>
      <c r="F339" s="16">
        <f>27.3*2</f>
        <v>54.6</v>
      </c>
      <c r="G339" s="17">
        <v>0.1</v>
      </c>
      <c r="H339" s="195">
        <f t="shared" ref="H339" si="158">F339*(1+G339)</f>
        <v>60.060000000000009</v>
      </c>
      <c r="I339" s="18" t="s">
        <v>24</v>
      </c>
      <c r="J339" s="19">
        <f>J$16</f>
        <v>0</v>
      </c>
      <c r="K339" s="94">
        <f t="shared" ref="K339" si="159">J339*H339</f>
        <v>0</v>
      </c>
      <c r="L339" s="93"/>
    </row>
    <row r="340" spans="1:12" s="5" customFormat="1" x14ac:dyDescent="0.2">
      <c r="A340" s="133" t="str">
        <f t="shared" si="157"/>
        <v/>
      </c>
      <c r="B340" s="15"/>
      <c r="C340" s="15"/>
      <c r="D340" s="194"/>
      <c r="E340" s="208" t="s">
        <v>83</v>
      </c>
      <c r="F340" s="16"/>
      <c r="G340" s="17"/>
      <c r="H340" s="195"/>
      <c r="I340" s="18"/>
      <c r="J340" s="19"/>
      <c r="K340" s="94"/>
      <c r="L340" s="93"/>
    </row>
    <row r="341" spans="1:12" s="5" customFormat="1" ht="31.5" x14ac:dyDescent="0.2">
      <c r="A341" s="133">
        <f t="shared" si="157"/>
        <v>148</v>
      </c>
      <c r="B341" s="15" t="s">
        <v>62</v>
      </c>
      <c r="C341" s="15"/>
      <c r="D341" s="212" t="s">
        <v>84</v>
      </c>
      <c r="E341" s="31" t="s">
        <v>30</v>
      </c>
      <c r="F341" s="16">
        <f>(27.3/4+1)*2*0.5</f>
        <v>7.8250000000000002</v>
      </c>
      <c r="G341" s="17">
        <v>0.1</v>
      </c>
      <c r="H341" s="195">
        <f t="shared" ref="H341" si="160">F341*(1+G341)</f>
        <v>8.6075000000000017</v>
      </c>
      <c r="I341" s="18" t="s">
        <v>24</v>
      </c>
      <c r="J341" s="19">
        <f>J$18</f>
        <v>0</v>
      </c>
      <c r="K341" s="94">
        <f t="shared" ref="K341" si="161">J341*H341</f>
        <v>0</v>
      </c>
      <c r="L341" s="93"/>
    </row>
    <row r="342" spans="1:12" s="5" customFormat="1" x14ac:dyDescent="0.2">
      <c r="A342" s="133" t="str">
        <f t="shared" si="157"/>
        <v/>
      </c>
      <c r="B342" s="15"/>
      <c r="C342" s="15"/>
      <c r="D342" s="194"/>
      <c r="E342" s="208" t="s">
        <v>85</v>
      </c>
      <c r="F342" s="16"/>
      <c r="G342" s="17"/>
      <c r="H342" s="195"/>
      <c r="I342" s="18"/>
      <c r="J342" s="19"/>
      <c r="K342" s="94"/>
      <c r="L342" s="93"/>
    </row>
    <row r="343" spans="1:12" s="5" customFormat="1" x14ac:dyDescent="0.2">
      <c r="A343" s="133">
        <f t="shared" si="157"/>
        <v>149</v>
      </c>
      <c r="B343" s="15" t="s">
        <v>62</v>
      </c>
      <c r="C343" s="15"/>
      <c r="D343" s="35"/>
      <c r="E343" s="31" t="s">
        <v>80</v>
      </c>
      <c r="F343" s="16">
        <v>27.3</v>
      </c>
      <c r="G343" s="17">
        <v>0.1</v>
      </c>
      <c r="H343" s="195">
        <f t="shared" ref="H343" si="162">F343*(1+G343)</f>
        <v>30.030000000000005</v>
      </c>
      <c r="I343" s="18" t="s">
        <v>24</v>
      </c>
      <c r="J343" s="19">
        <f>J$20</f>
        <v>0</v>
      </c>
      <c r="K343" s="94">
        <f t="shared" ref="K343" si="163">J343*H343</f>
        <v>0</v>
      </c>
      <c r="L343" s="93"/>
    </row>
    <row r="344" spans="1:12" s="5" customFormat="1" x14ac:dyDescent="0.2">
      <c r="A344" s="133" t="str">
        <f t="shared" si="157"/>
        <v/>
      </c>
      <c r="B344" s="15"/>
      <c r="C344" s="15"/>
      <c r="D344" s="194"/>
      <c r="E344" s="208" t="s">
        <v>86</v>
      </c>
      <c r="F344" s="16"/>
      <c r="G344" s="17"/>
      <c r="H344" s="195"/>
      <c r="I344" s="18"/>
      <c r="J344" s="19"/>
      <c r="K344" s="94"/>
      <c r="L344" s="93"/>
    </row>
    <row r="345" spans="1:12" s="5" customFormat="1" x14ac:dyDescent="0.2">
      <c r="A345" s="133">
        <f t="shared" si="157"/>
        <v>150</v>
      </c>
      <c r="B345" s="15" t="s">
        <v>62</v>
      </c>
      <c r="C345" s="15"/>
      <c r="D345" s="194"/>
      <c r="E345" s="31" t="s">
        <v>74</v>
      </c>
      <c r="F345" s="16">
        <v>347</v>
      </c>
      <c r="G345" s="17">
        <v>0.1</v>
      </c>
      <c r="H345" s="195">
        <f>F345*(1+G345)</f>
        <v>381.70000000000005</v>
      </c>
      <c r="I345" s="18" t="s">
        <v>16</v>
      </c>
      <c r="J345" s="19">
        <f>J$22</f>
        <v>0</v>
      </c>
      <c r="K345" s="94">
        <f>J345*H345</f>
        <v>0</v>
      </c>
      <c r="L345" s="93"/>
    </row>
    <row r="346" spans="1:12" s="5" customFormat="1" ht="16.5" thickBot="1" x14ac:dyDescent="0.25">
      <c r="A346" s="133" t="str">
        <f t="shared" si="157"/>
        <v/>
      </c>
      <c r="B346" s="32"/>
      <c r="C346" s="33"/>
      <c r="D346" s="15"/>
      <c r="E346" s="37"/>
      <c r="F346" s="20"/>
      <c r="G346" s="21"/>
      <c r="H346" s="20"/>
      <c r="I346" s="22"/>
      <c r="J346" s="23"/>
      <c r="K346" s="95"/>
      <c r="L346" s="96"/>
    </row>
    <row r="347" spans="1:12" s="5" customFormat="1" ht="16.5" thickBot="1" x14ac:dyDescent="0.25">
      <c r="A347" s="133" t="str">
        <f t="shared" si="157"/>
        <v/>
      </c>
      <c r="B347" s="32"/>
      <c r="C347" s="33"/>
      <c r="D347" s="33"/>
      <c r="E347" s="36" t="s">
        <v>63</v>
      </c>
      <c r="F347" s="24"/>
      <c r="G347" s="25"/>
      <c r="H347" s="26"/>
      <c r="I347" s="27"/>
      <c r="J347" s="214"/>
      <c r="K347" s="97"/>
      <c r="L347" s="98">
        <f>SUM(K10:K346)</f>
        <v>0</v>
      </c>
    </row>
    <row r="348" spans="1:12" s="5" customFormat="1" ht="16.5" thickBot="1" x14ac:dyDescent="0.25">
      <c r="A348" s="133" t="str">
        <f t="shared" si="157"/>
        <v/>
      </c>
      <c r="B348" s="15"/>
      <c r="C348" s="15"/>
      <c r="D348" s="35"/>
      <c r="E348" s="31"/>
      <c r="F348" s="196"/>
      <c r="G348" s="17"/>
      <c r="H348" s="195"/>
      <c r="I348" s="18"/>
      <c r="J348" s="19"/>
      <c r="K348" s="94"/>
      <c r="L348" s="93"/>
    </row>
    <row r="349" spans="1:12" s="5" customFormat="1" ht="16.5" thickBot="1" x14ac:dyDescent="0.25">
      <c r="A349" s="133" t="str">
        <f t="shared" si="157"/>
        <v/>
      </c>
      <c r="B349" s="171"/>
      <c r="C349" s="172"/>
      <c r="D349" s="206"/>
      <c r="E349" s="206" t="s">
        <v>65</v>
      </c>
      <c r="F349" s="207"/>
      <c r="G349" s="175"/>
      <c r="H349" s="205"/>
      <c r="I349" s="187"/>
      <c r="J349" s="213"/>
      <c r="K349" s="179"/>
      <c r="L349" s="93"/>
    </row>
    <row r="350" spans="1:12" s="5" customFormat="1" x14ac:dyDescent="0.2">
      <c r="A350" s="133" t="str">
        <f t="shared" si="157"/>
        <v/>
      </c>
      <c r="B350" s="188"/>
      <c r="C350" s="188"/>
      <c r="D350" s="190"/>
      <c r="E350" s="191" t="s">
        <v>66</v>
      </c>
      <c r="F350" s="197"/>
      <c r="G350" s="198"/>
      <c r="H350" s="29"/>
      <c r="I350" s="30"/>
      <c r="J350" s="19"/>
      <c r="K350" s="94"/>
      <c r="L350" s="93"/>
    </row>
    <row r="351" spans="1:12" s="5" customFormat="1" ht="78.75" x14ac:dyDescent="0.2">
      <c r="A351" s="133">
        <f t="shared" si="157"/>
        <v>151</v>
      </c>
      <c r="B351" s="15" t="s">
        <v>68</v>
      </c>
      <c r="C351" s="15" t="s">
        <v>69</v>
      </c>
      <c r="D351" s="194"/>
      <c r="E351" s="31" t="s">
        <v>137</v>
      </c>
      <c r="F351" s="16">
        <f>16194.8+921.4*1+57.8*2.58+16.7*4.167</f>
        <v>17334.912899999999</v>
      </c>
      <c r="G351" s="17">
        <v>0.1</v>
      </c>
      <c r="H351" s="195">
        <f>F351*(1+G351)</f>
        <v>19068.404190000001</v>
      </c>
      <c r="I351" s="18" t="s">
        <v>16</v>
      </c>
      <c r="J351" s="104">
        <v>0</v>
      </c>
      <c r="K351" s="94">
        <f>J351*H351</f>
        <v>0</v>
      </c>
      <c r="L351" s="93"/>
    </row>
    <row r="352" spans="1:12" s="5" customFormat="1" ht="78.75" x14ac:dyDescent="0.2">
      <c r="A352" s="133">
        <f t="shared" si="157"/>
        <v>152</v>
      </c>
      <c r="B352" s="15" t="s">
        <v>68</v>
      </c>
      <c r="C352" s="15" t="s">
        <v>70</v>
      </c>
      <c r="D352" s="194"/>
      <c r="E352" s="31" t="s">
        <v>138</v>
      </c>
      <c r="F352" s="16">
        <f>6236+214.7*0.67+433.1*1+28*2.58+14*4.167+23.9*4.75</f>
        <v>7057.0519999999997</v>
      </c>
      <c r="G352" s="17">
        <v>0.1</v>
      </c>
      <c r="H352" s="195">
        <f>F352*(1+G352)</f>
        <v>7762.7572</v>
      </c>
      <c r="I352" s="18" t="s">
        <v>16</v>
      </c>
      <c r="J352" s="104">
        <v>0</v>
      </c>
      <c r="K352" s="94">
        <f>J352*H352</f>
        <v>0</v>
      </c>
      <c r="L352" s="93"/>
    </row>
    <row r="353" spans="1:12" s="5" customFormat="1" ht="78.75" x14ac:dyDescent="0.2">
      <c r="A353" s="133">
        <f t="shared" si="157"/>
        <v>153</v>
      </c>
      <c r="B353" s="15" t="s">
        <v>68</v>
      </c>
      <c r="C353" s="15" t="s">
        <v>71</v>
      </c>
      <c r="D353" s="194"/>
      <c r="E353" s="31" t="s">
        <v>139</v>
      </c>
      <c r="F353" s="16">
        <v>110.6</v>
      </c>
      <c r="G353" s="17">
        <v>0.1</v>
      </c>
      <c r="H353" s="195">
        <f>F353*(1+G353)</f>
        <v>121.66</v>
      </c>
      <c r="I353" s="18" t="s">
        <v>16</v>
      </c>
      <c r="J353" s="104">
        <v>0</v>
      </c>
      <c r="K353" s="94">
        <f>J353*H353</f>
        <v>0</v>
      </c>
      <c r="L353" s="93"/>
    </row>
    <row r="354" spans="1:12" s="5" customFormat="1" x14ac:dyDescent="0.2">
      <c r="A354" s="133" t="str">
        <f t="shared" si="157"/>
        <v/>
      </c>
      <c r="B354" s="15"/>
      <c r="C354" s="15"/>
      <c r="D354" s="194"/>
      <c r="E354" s="208" t="s">
        <v>133</v>
      </c>
      <c r="F354" s="16"/>
      <c r="G354" s="17"/>
      <c r="H354" s="195"/>
      <c r="I354" s="18"/>
      <c r="J354" s="19"/>
      <c r="K354" s="94"/>
      <c r="L354" s="93"/>
    </row>
    <row r="355" spans="1:12" s="5" customFormat="1" ht="31.5" x14ac:dyDescent="0.2">
      <c r="A355" s="133">
        <f t="shared" si="157"/>
        <v>154</v>
      </c>
      <c r="B355" s="15" t="s">
        <v>68</v>
      </c>
      <c r="C355" s="15"/>
      <c r="D355" s="212" t="s">
        <v>84</v>
      </c>
      <c r="E355" s="215" t="s">
        <v>132</v>
      </c>
      <c r="F355" s="16">
        <f>835.9</f>
        <v>835.9</v>
      </c>
      <c r="G355" s="17">
        <v>0.1</v>
      </c>
      <c r="H355" s="195">
        <f t="shared" ref="H355" si="164">F355*(1+G355)</f>
        <v>919.49</v>
      </c>
      <c r="I355" s="18" t="s">
        <v>24</v>
      </c>
      <c r="J355" s="104">
        <v>0</v>
      </c>
      <c r="K355" s="94">
        <f t="shared" ref="K355" si="165">J355*H355</f>
        <v>0</v>
      </c>
      <c r="L355" s="93"/>
    </row>
    <row r="356" spans="1:12" s="5" customFormat="1" x14ac:dyDescent="0.2">
      <c r="A356" s="133" t="str">
        <f t="shared" si="157"/>
        <v/>
      </c>
      <c r="B356" s="15"/>
      <c r="C356" s="15"/>
      <c r="D356" s="194"/>
      <c r="E356" s="208" t="s">
        <v>134</v>
      </c>
      <c r="F356" s="16"/>
      <c r="G356" s="17"/>
      <c r="H356" s="195"/>
      <c r="I356" s="18"/>
      <c r="J356" s="19"/>
      <c r="K356" s="94"/>
      <c r="L356" s="93"/>
    </row>
    <row r="357" spans="1:12" s="5" customFormat="1" x14ac:dyDescent="0.2">
      <c r="A357" s="133">
        <f t="shared" si="157"/>
        <v>155</v>
      </c>
      <c r="B357" s="15" t="s">
        <v>68</v>
      </c>
      <c r="C357" s="15"/>
      <c r="D357" s="194"/>
      <c r="E357" s="215" t="s">
        <v>135</v>
      </c>
      <c r="F357" s="16">
        <v>24503</v>
      </c>
      <c r="G357" s="17">
        <v>0.1</v>
      </c>
      <c r="H357" s="195">
        <f t="shared" ref="H357" si="166">F357*(1+G357)</f>
        <v>26953.300000000003</v>
      </c>
      <c r="I357" s="18" t="s">
        <v>16</v>
      </c>
      <c r="J357" s="104">
        <v>0</v>
      </c>
      <c r="K357" s="94">
        <f t="shared" ref="K357" si="167">J357*H357</f>
        <v>0</v>
      </c>
      <c r="L357" s="93"/>
    </row>
    <row r="358" spans="1:12" s="5" customFormat="1" x14ac:dyDescent="0.2">
      <c r="A358" s="133">
        <f t="shared" si="157"/>
        <v>156</v>
      </c>
      <c r="B358" s="15" t="s">
        <v>68</v>
      </c>
      <c r="C358" s="15"/>
      <c r="D358" s="194"/>
      <c r="E358" s="215" t="s">
        <v>136</v>
      </c>
      <c r="F358" s="16">
        <v>24503</v>
      </c>
      <c r="G358" s="17">
        <v>0.1</v>
      </c>
      <c r="H358" s="195">
        <f t="shared" ref="H358" si="168">F358*(1+G358)</f>
        <v>26953.300000000003</v>
      </c>
      <c r="I358" s="18" t="s">
        <v>16</v>
      </c>
      <c r="J358" s="104">
        <v>0</v>
      </c>
      <c r="K358" s="94">
        <f t="shared" ref="K358" si="169">J358*H358</f>
        <v>0</v>
      </c>
      <c r="L358" s="93"/>
    </row>
    <row r="359" spans="1:12" s="5" customFormat="1" x14ac:dyDescent="0.2">
      <c r="A359" s="133" t="str">
        <f t="shared" si="157"/>
        <v/>
      </c>
      <c r="B359" s="15"/>
      <c r="C359" s="15"/>
      <c r="D359" s="194"/>
      <c r="E359" s="208" t="s">
        <v>86</v>
      </c>
      <c r="F359" s="16"/>
      <c r="G359" s="17"/>
      <c r="H359" s="195"/>
      <c r="I359" s="18"/>
      <c r="J359" s="19"/>
      <c r="K359" s="94"/>
      <c r="L359" s="93"/>
    </row>
    <row r="360" spans="1:12" s="5" customFormat="1" x14ac:dyDescent="0.2">
      <c r="A360" s="133">
        <f t="shared" si="157"/>
        <v>157</v>
      </c>
      <c r="B360" s="15" t="s">
        <v>68</v>
      </c>
      <c r="C360" s="15"/>
      <c r="D360" s="194"/>
      <c r="E360" s="31" t="s">
        <v>74</v>
      </c>
      <c r="F360" s="16">
        <f>19694.6+921.4*1+57.8*2.58+16.7*4.167+8096.4+214.7*0.67+433.1*1+28*2.58+14*4.167+23.9*4.75+110.6</f>
        <v>29862.764899999998</v>
      </c>
      <c r="G360" s="17">
        <v>0.1</v>
      </c>
      <c r="H360" s="195">
        <f>F360*(1+G360)</f>
        <v>32849.041389999999</v>
      </c>
      <c r="I360" s="18" t="s">
        <v>16</v>
      </c>
      <c r="J360" s="19">
        <f>J$22</f>
        <v>0</v>
      </c>
      <c r="K360" s="94">
        <f>J360*H360</f>
        <v>0</v>
      </c>
      <c r="L360" s="93"/>
    </row>
    <row r="361" spans="1:12" s="5" customFormat="1" ht="16.5" thickBot="1" x14ac:dyDescent="0.25">
      <c r="A361" s="133" t="str">
        <f t="shared" si="157"/>
        <v/>
      </c>
      <c r="B361" s="32"/>
      <c r="C361" s="33"/>
      <c r="D361" s="15"/>
      <c r="E361" s="37"/>
      <c r="F361" s="20"/>
      <c r="G361" s="21"/>
      <c r="H361" s="20"/>
      <c r="I361" s="22"/>
      <c r="J361" s="23"/>
      <c r="K361" s="95"/>
      <c r="L361" s="96"/>
    </row>
    <row r="362" spans="1:12" s="5" customFormat="1" ht="16.5" thickBot="1" x14ac:dyDescent="0.25">
      <c r="A362" s="133" t="str">
        <f t="shared" si="157"/>
        <v/>
      </c>
      <c r="B362" s="32"/>
      <c r="C362" s="33"/>
      <c r="D362" s="33"/>
      <c r="E362" s="36" t="s">
        <v>67</v>
      </c>
      <c r="F362" s="24"/>
      <c r="G362" s="25"/>
      <c r="H362" s="26"/>
      <c r="I362" s="27"/>
      <c r="J362" s="28"/>
      <c r="K362" s="97"/>
      <c r="L362" s="98">
        <f>SUM(K350:K361)</f>
        <v>0</v>
      </c>
    </row>
    <row r="363" spans="1:12" s="5" customFormat="1" x14ac:dyDescent="0.2">
      <c r="A363" s="133" t="str">
        <f t="shared" si="157"/>
        <v/>
      </c>
      <c r="B363" s="15"/>
      <c r="C363" s="15"/>
      <c r="D363" s="35"/>
      <c r="E363" s="31"/>
      <c r="F363" s="196"/>
      <c r="G363" s="17"/>
      <c r="H363" s="195"/>
      <c r="I363" s="18"/>
      <c r="J363" s="19"/>
      <c r="K363" s="94"/>
      <c r="L363" s="93"/>
    </row>
    <row r="364" spans="1:12" s="5" customFormat="1" ht="16.5" thickBot="1" x14ac:dyDescent="0.25">
      <c r="A364" s="133" t="str">
        <f>IF(F364&lt;&gt;"",1+MAX(A348:A363),"")</f>
        <v/>
      </c>
      <c r="B364" s="32"/>
      <c r="C364" s="33"/>
      <c r="D364" s="33"/>
      <c r="E364" s="38"/>
      <c r="F364" s="16"/>
      <c r="G364" s="34"/>
      <c r="H364" s="29"/>
      <c r="I364" s="30"/>
      <c r="J364" s="19"/>
      <c r="K364" s="94"/>
      <c r="L364" s="93"/>
    </row>
    <row r="365" spans="1:12" ht="16.5" thickBot="1" x14ac:dyDescent="0.25">
      <c r="A365" s="114" t="s">
        <v>17</v>
      </c>
      <c r="B365" s="115"/>
      <c r="C365" s="115"/>
      <c r="D365" s="115"/>
      <c r="E365" s="116" t="s">
        <v>18</v>
      </c>
      <c r="F365" s="117"/>
      <c r="G365" s="118"/>
      <c r="H365" s="118"/>
      <c r="I365" s="119"/>
      <c r="J365" s="4"/>
      <c r="K365" s="121">
        <f>SUM(K7:K364)</f>
        <v>0</v>
      </c>
      <c r="L365" s="121">
        <f>SUM(L9:L364)</f>
        <v>0</v>
      </c>
    </row>
    <row r="366" spans="1:12" ht="16.5" thickBot="1" x14ac:dyDescent="0.25">
      <c r="A366" s="39" t="s">
        <v>20</v>
      </c>
      <c r="B366" s="40"/>
      <c r="C366" s="40"/>
      <c r="D366" s="40"/>
      <c r="E366" s="41"/>
      <c r="F366" s="42"/>
      <c r="G366" s="43"/>
      <c r="H366" s="43"/>
      <c r="I366" s="44"/>
      <c r="J366" s="112">
        <v>0.2</v>
      </c>
      <c r="K366" s="99">
        <f>J366*K365</f>
        <v>0</v>
      </c>
      <c r="L366" s="113">
        <f>J366*L365</f>
        <v>0</v>
      </c>
    </row>
    <row r="367" spans="1:12" ht="16.5" thickBot="1" x14ac:dyDescent="0.25">
      <c r="A367" s="125" t="s">
        <v>129</v>
      </c>
      <c r="B367" s="126"/>
      <c r="C367" s="126"/>
      <c r="D367" s="126"/>
      <c r="E367" s="127"/>
      <c r="F367" s="128"/>
      <c r="G367" s="129"/>
      <c r="H367" s="129"/>
      <c r="I367" s="130"/>
      <c r="J367" s="131"/>
      <c r="K367" s="132">
        <f>SUM(K365:K366)</f>
        <v>0</v>
      </c>
      <c r="L367" s="121">
        <f>SUM(L365:L366)</f>
        <v>0</v>
      </c>
    </row>
    <row r="368" spans="1:12" s="13" customFormat="1" ht="21.75" thickBot="1" x14ac:dyDescent="0.25">
      <c r="A368" s="144"/>
      <c r="B368" s="134"/>
      <c r="C368" s="134"/>
      <c r="D368" s="134"/>
      <c r="E368" s="134" t="s">
        <v>22</v>
      </c>
      <c r="F368" s="134"/>
      <c r="G368" s="134"/>
      <c r="H368" s="134"/>
      <c r="I368" s="134"/>
      <c r="J368" s="134"/>
      <c r="K368" s="135"/>
      <c r="L368" s="145"/>
    </row>
    <row r="369" spans="1:12" s="14" customFormat="1" ht="16.5" thickBot="1" x14ac:dyDescent="0.25">
      <c r="A369" s="133" t="str">
        <f>IF(F369&lt;&gt;"",1+MAX($A$7:A448),"")</f>
        <v/>
      </c>
      <c r="B369" s="136"/>
      <c r="C369" s="137"/>
      <c r="D369" s="138"/>
      <c r="E369" s="139" t="s">
        <v>28</v>
      </c>
      <c r="F369" s="140"/>
      <c r="G369" s="141"/>
      <c r="H369" s="141"/>
      <c r="I369" s="141"/>
      <c r="J369" s="142"/>
      <c r="K369" s="143"/>
      <c r="L369" s="93"/>
    </row>
    <row r="370" spans="1:12" s="5" customFormat="1" ht="16.5" thickBot="1" x14ac:dyDescent="0.25">
      <c r="A370" s="133" t="str">
        <f>IF(F370&lt;&gt;"",1+MAX(A354:A369),"")</f>
        <v/>
      </c>
      <c r="B370" s="171"/>
      <c r="C370" s="172"/>
      <c r="D370" s="173"/>
      <c r="E370" s="173" t="s">
        <v>29</v>
      </c>
      <c r="F370" s="174"/>
      <c r="G370" s="175"/>
      <c r="H370" s="176"/>
      <c r="I370" s="177"/>
      <c r="J370" s="178"/>
      <c r="K370" s="179"/>
      <c r="L370" s="93"/>
    </row>
    <row r="371" spans="1:12" s="5" customFormat="1" ht="16.5" thickBot="1" x14ac:dyDescent="0.25">
      <c r="A371" s="133" t="str">
        <f>IF(F371&lt;&gt;"",1+MAX(A355:A370),"")</f>
        <v/>
      </c>
      <c r="B371" s="180"/>
      <c r="C371" s="181"/>
      <c r="D371" s="182"/>
      <c r="E371" s="183" t="s">
        <v>25</v>
      </c>
      <c r="F371" s="184"/>
      <c r="G371" s="185"/>
      <c r="H371" s="186"/>
      <c r="I371" s="187"/>
      <c r="J371" s="178"/>
      <c r="K371" s="179"/>
      <c r="L371" s="93"/>
    </row>
    <row r="372" spans="1:12" s="5" customFormat="1" ht="16.5" thickBot="1" x14ac:dyDescent="0.25">
      <c r="A372" s="133" t="str">
        <f t="shared" ref="A372:A373" si="170">IF(F372&lt;&gt;"",1+MAX(A359:A371),"")</f>
        <v/>
      </c>
      <c r="B372" s="15"/>
      <c r="C372" s="189"/>
      <c r="D372" s="190"/>
      <c r="E372" s="211" t="s">
        <v>115</v>
      </c>
      <c r="F372" s="192"/>
      <c r="G372" s="193"/>
      <c r="H372" s="29"/>
      <c r="I372" s="30"/>
      <c r="J372" s="19"/>
      <c r="K372" s="94"/>
      <c r="L372" s="93"/>
    </row>
    <row r="373" spans="1:12" s="5" customFormat="1" x14ac:dyDescent="0.2">
      <c r="A373" s="133" t="str">
        <f t="shared" si="170"/>
        <v/>
      </c>
      <c r="B373" s="188"/>
      <c r="C373" s="189"/>
      <c r="D373" s="190"/>
      <c r="E373" s="208" t="s">
        <v>82</v>
      </c>
      <c r="F373" s="192"/>
      <c r="G373" s="193"/>
      <c r="H373" s="29"/>
      <c r="I373" s="30"/>
      <c r="J373" s="19"/>
      <c r="K373" s="94"/>
      <c r="L373" s="93"/>
    </row>
    <row r="374" spans="1:12" s="5" customFormat="1" ht="47.25" x14ac:dyDescent="0.2">
      <c r="A374" s="133">
        <f>IF(F374&lt;&gt;"",1+MAX(A360:A373),"")</f>
        <v>158</v>
      </c>
      <c r="B374" s="15" t="s">
        <v>60</v>
      </c>
      <c r="C374" s="15" t="s">
        <v>73</v>
      </c>
      <c r="D374" s="194"/>
      <c r="E374" s="31" t="s">
        <v>122</v>
      </c>
      <c r="F374" s="16">
        <f>99.4*22.167</f>
        <v>2203.3998000000001</v>
      </c>
      <c r="G374" s="17">
        <v>0.1</v>
      </c>
      <c r="H374" s="195">
        <f>F374*(1+G374)</f>
        <v>2423.7397800000003</v>
      </c>
      <c r="I374" s="18" t="s">
        <v>16</v>
      </c>
      <c r="J374" s="19">
        <f>J$137</f>
        <v>0</v>
      </c>
      <c r="K374" s="94">
        <f>J374*H374</f>
        <v>0</v>
      </c>
      <c r="L374" s="93"/>
    </row>
    <row r="375" spans="1:12" s="5" customFormat="1" x14ac:dyDescent="0.2">
      <c r="A375" s="133" t="str">
        <f t="shared" ref="A375:A403" si="171">IF(F375&lt;&gt;"",1+MAX(A361:A374),"")</f>
        <v/>
      </c>
      <c r="B375" s="15"/>
      <c r="C375" s="15"/>
      <c r="D375" s="194"/>
      <c r="E375" s="208" t="s">
        <v>81</v>
      </c>
      <c r="F375" s="16"/>
      <c r="G375" s="17"/>
      <c r="H375" s="195"/>
      <c r="I375" s="18"/>
      <c r="J375" s="19"/>
      <c r="K375" s="94"/>
      <c r="L375" s="93"/>
    </row>
    <row r="376" spans="1:12" s="5" customFormat="1" ht="31.5" x14ac:dyDescent="0.2">
      <c r="A376" s="133">
        <f t="shared" si="171"/>
        <v>159</v>
      </c>
      <c r="B376" s="15" t="s">
        <v>60</v>
      </c>
      <c r="C376" s="15"/>
      <c r="D376" s="194"/>
      <c r="E376" s="31" t="s">
        <v>77</v>
      </c>
      <c r="F376" s="16">
        <f>99.4*2</f>
        <v>198.8</v>
      </c>
      <c r="G376" s="17">
        <v>0.1</v>
      </c>
      <c r="H376" s="195">
        <f>F376*(1+G376)</f>
        <v>218.68000000000004</v>
      </c>
      <c r="I376" s="18" t="s">
        <v>24</v>
      </c>
      <c r="J376" s="19">
        <f>J$16</f>
        <v>0</v>
      </c>
      <c r="K376" s="94">
        <f>J376*H376</f>
        <v>0</v>
      </c>
      <c r="L376" s="93"/>
    </row>
    <row r="377" spans="1:12" s="5" customFormat="1" x14ac:dyDescent="0.2">
      <c r="A377" s="133" t="str">
        <f t="shared" si="171"/>
        <v/>
      </c>
      <c r="B377" s="15"/>
      <c r="C377" s="15"/>
      <c r="D377" s="194"/>
      <c r="E377" s="208" t="s">
        <v>83</v>
      </c>
      <c r="F377" s="16"/>
      <c r="G377" s="17"/>
      <c r="H377" s="195"/>
      <c r="I377" s="18"/>
      <c r="J377" s="19"/>
      <c r="K377" s="94"/>
      <c r="L377" s="93"/>
    </row>
    <row r="378" spans="1:12" s="5" customFormat="1" ht="31.5" x14ac:dyDescent="0.2">
      <c r="A378" s="133">
        <f t="shared" si="171"/>
        <v>160</v>
      </c>
      <c r="B378" s="15" t="s">
        <v>60</v>
      </c>
      <c r="C378" s="15"/>
      <c r="D378" s="212" t="s">
        <v>84</v>
      </c>
      <c r="E378" s="31" t="s">
        <v>30</v>
      </c>
      <c r="F378" s="16">
        <f>(99.4/4+1)*2*0.5</f>
        <v>25.85</v>
      </c>
      <c r="G378" s="17">
        <v>0.1</v>
      </c>
      <c r="H378" s="195">
        <f>F378*(1+G378)</f>
        <v>28.435000000000002</v>
      </c>
      <c r="I378" s="18" t="s">
        <v>24</v>
      </c>
      <c r="J378" s="19">
        <f>J$18</f>
        <v>0</v>
      </c>
      <c r="K378" s="94">
        <f>J378*H378</f>
        <v>0</v>
      </c>
      <c r="L378" s="93"/>
    </row>
    <row r="379" spans="1:12" s="5" customFormat="1" x14ac:dyDescent="0.2">
      <c r="A379" s="133" t="str">
        <f t="shared" si="171"/>
        <v/>
      </c>
      <c r="B379" s="15"/>
      <c r="C379" s="15"/>
      <c r="D379" s="194"/>
      <c r="E379" s="208" t="s">
        <v>85</v>
      </c>
      <c r="F379" s="16"/>
      <c r="G379" s="17"/>
      <c r="H379" s="195"/>
      <c r="I379" s="18"/>
      <c r="J379" s="19"/>
      <c r="K379" s="94"/>
      <c r="L379" s="93"/>
    </row>
    <row r="380" spans="1:12" s="5" customFormat="1" x14ac:dyDescent="0.2">
      <c r="A380" s="133">
        <f t="shared" si="171"/>
        <v>161</v>
      </c>
      <c r="B380" s="15" t="s">
        <v>60</v>
      </c>
      <c r="C380" s="15"/>
      <c r="D380" s="35"/>
      <c r="E380" s="31" t="s">
        <v>80</v>
      </c>
      <c r="F380" s="16">
        <v>99.4</v>
      </c>
      <c r="G380" s="17">
        <v>0.1</v>
      </c>
      <c r="H380" s="195">
        <f t="shared" ref="H380" si="172">F380*(1+G380)</f>
        <v>109.34000000000002</v>
      </c>
      <c r="I380" s="18" t="s">
        <v>24</v>
      </c>
      <c r="J380" s="19">
        <f>J$20</f>
        <v>0</v>
      </c>
      <c r="K380" s="94">
        <f t="shared" ref="K380" si="173">J380*H380</f>
        <v>0</v>
      </c>
      <c r="L380" s="93"/>
    </row>
    <row r="381" spans="1:12" s="5" customFormat="1" x14ac:dyDescent="0.2">
      <c r="A381" s="133" t="str">
        <f t="shared" si="171"/>
        <v/>
      </c>
      <c r="B381" s="15"/>
      <c r="C381" s="15"/>
      <c r="D381" s="194"/>
      <c r="E381" s="208" t="s">
        <v>86</v>
      </c>
      <c r="F381" s="16"/>
      <c r="G381" s="17"/>
      <c r="H381" s="195"/>
      <c r="I381" s="18"/>
      <c r="J381" s="19"/>
      <c r="K381" s="94"/>
      <c r="L381" s="93"/>
    </row>
    <row r="382" spans="1:12" s="5" customFormat="1" ht="16.5" thickBot="1" x14ac:dyDescent="0.25">
      <c r="A382" s="133">
        <f t="shared" si="171"/>
        <v>162</v>
      </c>
      <c r="B382" s="15" t="s">
        <v>60</v>
      </c>
      <c r="C382" s="15"/>
      <c r="D382" s="194"/>
      <c r="E382" s="31" t="s">
        <v>74</v>
      </c>
      <c r="F382" s="16">
        <v>2203</v>
      </c>
      <c r="G382" s="17">
        <v>0.1</v>
      </c>
      <c r="H382" s="195">
        <f>F382*(1+G382)</f>
        <v>2423.3000000000002</v>
      </c>
      <c r="I382" s="18" t="s">
        <v>16</v>
      </c>
      <c r="J382" s="19">
        <f>J$22</f>
        <v>0</v>
      </c>
      <c r="K382" s="94">
        <f>J382*H382</f>
        <v>0</v>
      </c>
      <c r="L382" s="93"/>
    </row>
    <row r="383" spans="1:12" s="5" customFormat="1" ht="16.5" thickBot="1" x14ac:dyDescent="0.25">
      <c r="A383" s="133" t="str">
        <f t="shared" si="171"/>
        <v/>
      </c>
      <c r="B383" s="15"/>
      <c r="C383" s="189"/>
      <c r="D383" s="190"/>
      <c r="E383" s="211" t="s">
        <v>116</v>
      </c>
      <c r="F383" s="192"/>
      <c r="G383" s="193"/>
      <c r="H383" s="29"/>
      <c r="I383" s="30"/>
      <c r="J383" s="19"/>
      <c r="K383" s="94"/>
      <c r="L383" s="93"/>
    </row>
    <row r="384" spans="1:12" s="5" customFormat="1" x14ac:dyDescent="0.2">
      <c r="A384" s="133" t="str">
        <f t="shared" si="171"/>
        <v/>
      </c>
      <c r="B384" s="188"/>
      <c r="C384" s="189"/>
      <c r="D384" s="190"/>
      <c r="E384" s="208" t="s">
        <v>82</v>
      </c>
      <c r="F384" s="192"/>
      <c r="G384" s="193"/>
      <c r="H384" s="29"/>
      <c r="I384" s="30"/>
      <c r="J384" s="19"/>
      <c r="K384" s="94"/>
      <c r="L384" s="93"/>
    </row>
    <row r="385" spans="1:12" s="5" customFormat="1" ht="47.25" x14ac:dyDescent="0.2">
      <c r="A385" s="133">
        <f t="shared" si="171"/>
        <v>163</v>
      </c>
      <c r="B385" s="15" t="s">
        <v>60</v>
      </c>
      <c r="C385" s="15" t="s">
        <v>72</v>
      </c>
      <c r="D385" s="194"/>
      <c r="E385" s="31" t="s">
        <v>122</v>
      </c>
      <c r="F385" s="16">
        <f>153.7*22.167</f>
        <v>3407.0679</v>
      </c>
      <c r="G385" s="17">
        <v>0.1</v>
      </c>
      <c r="H385" s="195">
        <f>F385*(1+G385)</f>
        <v>3747.7746900000002</v>
      </c>
      <c r="I385" s="18" t="s">
        <v>16</v>
      </c>
      <c r="J385" s="19">
        <f>J$137</f>
        <v>0</v>
      </c>
      <c r="K385" s="94">
        <f>J385*H385</f>
        <v>0</v>
      </c>
      <c r="L385" s="93"/>
    </row>
    <row r="386" spans="1:12" s="5" customFormat="1" x14ac:dyDescent="0.2">
      <c r="A386" s="133" t="str">
        <f t="shared" si="171"/>
        <v/>
      </c>
      <c r="B386" s="15"/>
      <c r="C386" s="15"/>
      <c r="D386" s="194"/>
      <c r="E386" s="208" t="s">
        <v>81</v>
      </c>
      <c r="F386" s="16"/>
      <c r="G386" s="17"/>
      <c r="H386" s="195"/>
      <c r="I386" s="18"/>
      <c r="J386" s="19"/>
      <c r="K386" s="94"/>
      <c r="L386" s="93"/>
    </row>
    <row r="387" spans="1:12" s="5" customFormat="1" ht="31.5" x14ac:dyDescent="0.2">
      <c r="A387" s="133">
        <f t="shared" si="171"/>
        <v>164</v>
      </c>
      <c r="B387" s="15" t="s">
        <v>60</v>
      </c>
      <c r="C387" s="15"/>
      <c r="D387" s="194"/>
      <c r="E387" s="31" t="s">
        <v>77</v>
      </c>
      <c r="F387" s="16">
        <f>153.7*2</f>
        <v>307.39999999999998</v>
      </c>
      <c r="G387" s="17">
        <v>0.1</v>
      </c>
      <c r="H387" s="195">
        <f>F387*(1+G387)</f>
        <v>338.14</v>
      </c>
      <c r="I387" s="18" t="s">
        <v>24</v>
      </c>
      <c r="J387" s="19">
        <f>J$16</f>
        <v>0</v>
      </c>
      <c r="K387" s="94">
        <f>J387*H387</f>
        <v>0</v>
      </c>
      <c r="L387" s="93"/>
    </row>
    <row r="388" spans="1:12" s="5" customFormat="1" x14ac:dyDescent="0.2">
      <c r="A388" s="133" t="str">
        <f t="shared" si="171"/>
        <v/>
      </c>
      <c r="B388" s="15"/>
      <c r="C388" s="15"/>
      <c r="D388" s="194"/>
      <c r="E388" s="208" t="s">
        <v>83</v>
      </c>
      <c r="F388" s="16"/>
      <c r="G388" s="17"/>
      <c r="H388" s="195"/>
      <c r="I388" s="18"/>
      <c r="J388" s="19"/>
      <c r="K388" s="94"/>
      <c r="L388" s="93"/>
    </row>
    <row r="389" spans="1:12" s="5" customFormat="1" ht="31.5" x14ac:dyDescent="0.2">
      <c r="A389" s="133">
        <f t="shared" si="171"/>
        <v>165</v>
      </c>
      <c r="B389" s="15" t="s">
        <v>60</v>
      </c>
      <c r="C389" s="15"/>
      <c r="D389" s="212" t="s">
        <v>84</v>
      </c>
      <c r="E389" s="31" t="s">
        <v>75</v>
      </c>
      <c r="F389" s="16">
        <f>(153.7/4+1)*0.5</f>
        <v>19.712499999999999</v>
      </c>
      <c r="G389" s="17">
        <v>0.1</v>
      </c>
      <c r="H389" s="195">
        <f>F389*(1+G389)</f>
        <v>21.68375</v>
      </c>
      <c r="I389" s="18" t="s">
        <v>16</v>
      </c>
      <c r="J389" s="19">
        <f>J$18</f>
        <v>0</v>
      </c>
      <c r="K389" s="94">
        <f>J389*H389</f>
        <v>0</v>
      </c>
      <c r="L389" s="93"/>
    </row>
    <row r="390" spans="1:12" s="5" customFormat="1" x14ac:dyDescent="0.2">
      <c r="A390" s="133" t="str">
        <f t="shared" si="171"/>
        <v/>
      </c>
      <c r="B390" s="15"/>
      <c r="C390" s="15"/>
      <c r="D390" s="194"/>
      <c r="E390" s="208" t="s">
        <v>85</v>
      </c>
      <c r="F390" s="16"/>
      <c r="G390" s="17"/>
      <c r="H390" s="195"/>
      <c r="I390" s="18"/>
      <c r="J390" s="19"/>
      <c r="K390" s="94"/>
      <c r="L390" s="93"/>
    </row>
    <row r="391" spans="1:12" s="5" customFormat="1" x14ac:dyDescent="0.2">
      <c r="A391" s="133">
        <f t="shared" si="171"/>
        <v>166</v>
      </c>
      <c r="B391" s="15" t="s">
        <v>60</v>
      </c>
      <c r="C391" s="15"/>
      <c r="D391" s="35"/>
      <c r="E391" s="31" t="s">
        <v>80</v>
      </c>
      <c r="F391" s="16">
        <v>153.69999999999999</v>
      </c>
      <c r="G391" s="17">
        <v>0.1</v>
      </c>
      <c r="H391" s="195">
        <f t="shared" ref="H391" si="174">F391*(1+G391)</f>
        <v>169.07</v>
      </c>
      <c r="I391" s="18" t="s">
        <v>24</v>
      </c>
      <c r="J391" s="19">
        <f>J$20</f>
        <v>0</v>
      </c>
      <c r="K391" s="94">
        <f t="shared" ref="K391" si="175">J391*H391</f>
        <v>0</v>
      </c>
      <c r="L391" s="93"/>
    </row>
    <row r="392" spans="1:12" s="5" customFormat="1" x14ac:dyDescent="0.2">
      <c r="A392" s="133" t="str">
        <f t="shared" si="171"/>
        <v/>
      </c>
      <c r="B392" s="15"/>
      <c r="C392" s="15"/>
      <c r="D392" s="194"/>
      <c r="E392" s="208" t="s">
        <v>86</v>
      </c>
      <c r="F392" s="16"/>
      <c r="G392" s="17"/>
      <c r="H392" s="195"/>
      <c r="I392" s="18"/>
      <c r="J392" s="19"/>
      <c r="K392" s="94"/>
      <c r="L392" s="93"/>
    </row>
    <row r="393" spans="1:12" s="5" customFormat="1" x14ac:dyDescent="0.2">
      <c r="A393" s="133">
        <f t="shared" si="171"/>
        <v>167</v>
      </c>
      <c r="B393" s="15" t="s">
        <v>60</v>
      </c>
      <c r="C393" s="15"/>
      <c r="D393" s="194"/>
      <c r="E393" s="31" t="s">
        <v>74</v>
      </c>
      <c r="F393" s="16">
        <v>3407</v>
      </c>
      <c r="G393" s="17">
        <v>0.1</v>
      </c>
      <c r="H393" s="195">
        <f>F393*(1+G393)</f>
        <v>3747.7000000000003</v>
      </c>
      <c r="I393" s="18" t="s">
        <v>24</v>
      </c>
      <c r="J393" s="19">
        <f>J$22</f>
        <v>0</v>
      </c>
      <c r="K393" s="94">
        <f>J393*H393</f>
        <v>0</v>
      </c>
      <c r="L393" s="93"/>
    </row>
    <row r="394" spans="1:12" s="5" customFormat="1" ht="16.5" thickBot="1" x14ac:dyDescent="0.25">
      <c r="A394" s="133" t="str">
        <f t="shared" si="171"/>
        <v/>
      </c>
      <c r="B394" s="32"/>
      <c r="C394" s="33"/>
      <c r="D394" s="15"/>
      <c r="E394" s="37"/>
      <c r="F394" s="20"/>
      <c r="G394" s="21"/>
      <c r="H394" s="20"/>
      <c r="I394" s="22"/>
      <c r="J394" s="23"/>
      <c r="K394" s="95"/>
      <c r="L394" s="96"/>
    </row>
    <row r="395" spans="1:12" s="5" customFormat="1" ht="16.5" thickBot="1" x14ac:dyDescent="0.25">
      <c r="A395" s="133" t="str">
        <f t="shared" si="171"/>
        <v/>
      </c>
      <c r="B395" s="32"/>
      <c r="C395" s="33"/>
      <c r="D395" s="33"/>
      <c r="E395" s="36" t="s">
        <v>63</v>
      </c>
      <c r="F395" s="24"/>
      <c r="G395" s="25"/>
      <c r="H395" s="26"/>
      <c r="I395" s="27"/>
      <c r="J395" s="214"/>
      <c r="K395" s="97"/>
      <c r="L395" s="98">
        <f>SUM(K370:K394)</f>
        <v>0</v>
      </c>
    </row>
    <row r="396" spans="1:12" s="5" customFormat="1" ht="16.5" thickBot="1" x14ac:dyDescent="0.25">
      <c r="A396" s="133" t="str">
        <f t="shared" si="171"/>
        <v/>
      </c>
      <c r="B396" s="15"/>
      <c r="C396" s="15"/>
      <c r="D396" s="35"/>
      <c r="E396" s="31"/>
      <c r="F396" s="196"/>
      <c r="G396" s="17"/>
      <c r="H396" s="195"/>
      <c r="I396" s="18"/>
      <c r="J396" s="19"/>
      <c r="K396" s="94"/>
      <c r="L396" s="93"/>
    </row>
    <row r="397" spans="1:12" s="5" customFormat="1" ht="16.5" thickBot="1" x14ac:dyDescent="0.25">
      <c r="A397" s="133" t="str">
        <f t="shared" si="171"/>
        <v/>
      </c>
      <c r="B397" s="171"/>
      <c r="C397" s="172"/>
      <c r="D397" s="206"/>
      <c r="E397" s="206" t="s">
        <v>65</v>
      </c>
      <c r="F397" s="207"/>
      <c r="G397" s="175"/>
      <c r="H397" s="205"/>
      <c r="I397" s="187"/>
      <c r="J397" s="213"/>
      <c r="K397" s="179"/>
      <c r="L397" s="93"/>
    </row>
    <row r="398" spans="1:12" s="5" customFormat="1" x14ac:dyDescent="0.2">
      <c r="A398" s="133" t="str">
        <f t="shared" si="171"/>
        <v/>
      </c>
      <c r="B398" s="188"/>
      <c r="C398" s="188"/>
      <c r="D398" s="190"/>
      <c r="E398" s="191" t="s">
        <v>66</v>
      </c>
      <c r="F398" s="197"/>
      <c r="G398" s="198"/>
      <c r="H398" s="29"/>
      <c r="I398" s="30"/>
      <c r="J398" s="19"/>
      <c r="K398" s="94"/>
      <c r="L398" s="93"/>
    </row>
    <row r="399" spans="1:12" s="5" customFormat="1" ht="78.75" x14ac:dyDescent="0.2">
      <c r="A399" s="133">
        <f t="shared" si="171"/>
        <v>168</v>
      </c>
      <c r="B399" s="15" t="s">
        <v>68</v>
      </c>
      <c r="C399" s="15" t="s">
        <v>69</v>
      </c>
      <c r="D399" s="194"/>
      <c r="E399" s="31" t="s">
        <v>137</v>
      </c>
      <c r="F399" s="16">
        <v>1748.8</v>
      </c>
      <c r="G399" s="17">
        <v>0.1</v>
      </c>
      <c r="H399" s="195">
        <f>F399*(1+G399)</f>
        <v>1923.68</v>
      </c>
      <c r="I399" s="18" t="s">
        <v>16</v>
      </c>
      <c r="J399" s="19">
        <f>J$351</f>
        <v>0</v>
      </c>
      <c r="K399" s="94">
        <f>J399*H399</f>
        <v>0</v>
      </c>
      <c r="L399" s="93"/>
    </row>
    <row r="400" spans="1:12" s="5" customFormat="1" ht="78.75" x14ac:dyDescent="0.2">
      <c r="A400" s="133">
        <f t="shared" si="171"/>
        <v>169</v>
      </c>
      <c r="B400" s="15" t="s">
        <v>68</v>
      </c>
      <c r="C400" s="15" t="s">
        <v>70</v>
      </c>
      <c r="D400" s="194"/>
      <c r="E400" s="31" t="s">
        <v>138</v>
      </c>
      <c r="F400" s="16">
        <v>1544.8</v>
      </c>
      <c r="G400" s="17">
        <v>0.1</v>
      </c>
      <c r="H400" s="195">
        <f>F400*(1+G400)</f>
        <v>1699.2800000000002</v>
      </c>
      <c r="I400" s="18" t="s">
        <v>16</v>
      </c>
      <c r="J400" s="19">
        <f>J$352</f>
        <v>0</v>
      </c>
      <c r="K400" s="94">
        <f>J400*H400</f>
        <v>0</v>
      </c>
      <c r="L400" s="93"/>
    </row>
    <row r="401" spans="1:12" s="5" customFormat="1" ht="78.75" x14ac:dyDescent="0.2">
      <c r="A401" s="133">
        <f t="shared" si="171"/>
        <v>170</v>
      </c>
      <c r="B401" s="15" t="s">
        <v>68</v>
      </c>
      <c r="C401" s="15" t="s">
        <v>71</v>
      </c>
      <c r="D401" s="194"/>
      <c r="E401" s="31" t="s">
        <v>139</v>
      </c>
      <c r="F401" s="16">
        <v>771.4</v>
      </c>
      <c r="G401" s="17">
        <v>0.1</v>
      </c>
      <c r="H401" s="195">
        <f>F401*(1+G401)</f>
        <v>848.54000000000008</v>
      </c>
      <c r="I401" s="18" t="s">
        <v>16</v>
      </c>
      <c r="J401" s="19">
        <f>J$353</f>
        <v>0</v>
      </c>
      <c r="K401" s="94">
        <f>J401*H401</f>
        <v>0</v>
      </c>
      <c r="L401" s="93"/>
    </row>
    <row r="402" spans="1:12" s="5" customFormat="1" x14ac:dyDescent="0.2">
      <c r="A402" s="133" t="str">
        <f t="shared" si="171"/>
        <v/>
      </c>
      <c r="B402" s="15"/>
      <c r="C402" s="15"/>
      <c r="D402" s="194"/>
      <c r="E402" s="208" t="s">
        <v>133</v>
      </c>
      <c r="F402" s="16"/>
      <c r="G402" s="17"/>
      <c r="H402" s="195"/>
      <c r="I402" s="18"/>
      <c r="J402" s="19"/>
      <c r="K402" s="94"/>
      <c r="L402" s="93"/>
    </row>
    <row r="403" spans="1:12" s="5" customFormat="1" ht="31.5" x14ac:dyDescent="0.2">
      <c r="A403" s="133">
        <f t="shared" si="171"/>
        <v>171</v>
      </c>
      <c r="B403" s="15" t="s">
        <v>68</v>
      </c>
      <c r="C403" s="15"/>
      <c r="D403" s="212" t="s">
        <v>84</v>
      </c>
      <c r="E403" s="215" t="s">
        <v>132</v>
      </c>
      <c r="F403" s="16">
        <v>81.2</v>
      </c>
      <c r="G403" s="17">
        <v>0.1</v>
      </c>
      <c r="H403" s="195">
        <f t="shared" ref="H403" si="176">F403*(1+G403)</f>
        <v>89.320000000000007</v>
      </c>
      <c r="I403" s="18" t="s">
        <v>24</v>
      </c>
      <c r="J403" s="19">
        <f>J$355</f>
        <v>0</v>
      </c>
      <c r="K403" s="94">
        <f t="shared" ref="K403" si="177">J403*H403</f>
        <v>0</v>
      </c>
      <c r="L403" s="93"/>
    </row>
    <row r="404" spans="1:12" s="5" customFormat="1" x14ac:dyDescent="0.2">
      <c r="A404" s="133" t="str">
        <f t="shared" ref="A404:A406" si="178">IF(F404&lt;&gt;"",1+MAX(A392:A403),"")</f>
        <v/>
      </c>
      <c r="B404" s="15"/>
      <c r="C404" s="15"/>
      <c r="D404" s="194"/>
      <c r="E404" s="208" t="s">
        <v>134</v>
      </c>
      <c r="F404" s="16"/>
      <c r="G404" s="17"/>
      <c r="H404" s="195"/>
      <c r="I404" s="18"/>
      <c r="J404" s="19"/>
      <c r="K404" s="94"/>
      <c r="L404" s="93"/>
    </row>
    <row r="405" spans="1:12" s="5" customFormat="1" x14ac:dyDescent="0.2">
      <c r="A405" s="133">
        <f t="shared" si="178"/>
        <v>172</v>
      </c>
      <c r="B405" s="15" t="s">
        <v>68</v>
      </c>
      <c r="C405" s="15"/>
      <c r="D405" s="194"/>
      <c r="E405" s="215" t="s">
        <v>135</v>
      </c>
      <c r="F405" s="16">
        <v>4065</v>
      </c>
      <c r="G405" s="17">
        <v>0.1</v>
      </c>
      <c r="H405" s="195">
        <f t="shared" ref="H405:H406" si="179">F405*(1+G405)</f>
        <v>4471.5</v>
      </c>
      <c r="I405" s="18" t="s">
        <v>16</v>
      </c>
      <c r="J405" s="19">
        <f>J$357</f>
        <v>0</v>
      </c>
      <c r="K405" s="94">
        <f t="shared" ref="K405:K406" si="180">J405*H405</f>
        <v>0</v>
      </c>
      <c r="L405" s="93"/>
    </row>
    <row r="406" spans="1:12" s="5" customFormat="1" x14ac:dyDescent="0.2">
      <c r="A406" s="133">
        <f t="shared" si="178"/>
        <v>173</v>
      </c>
      <c r="B406" s="15" t="s">
        <v>68</v>
      </c>
      <c r="C406" s="15"/>
      <c r="D406" s="194"/>
      <c r="E406" s="215" t="s">
        <v>136</v>
      </c>
      <c r="F406" s="16">
        <v>4065</v>
      </c>
      <c r="G406" s="17">
        <v>0.1</v>
      </c>
      <c r="H406" s="195">
        <f t="shared" si="179"/>
        <v>4471.5</v>
      </c>
      <c r="I406" s="18" t="s">
        <v>16</v>
      </c>
      <c r="J406" s="19">
        <f>J$358</f>
        <v>0</v>
      </c>
      <c r="K406" s="94">
        <f t="shared" si="180"/>
        <v>0</v>
      </c>
      <c r="L406" s="93"/>
    </row>
    <row r="407" spans="1:12" s="5" customFormat="1" x14ac:dyDescent="0.2">
      <c r="A407" s="133" t="str">
        <f>IF(F407&lt;&gt;"",1+MAX(A390:A403),"")</f>
        <v/>
      </c>
      <c r="B407" s="15"/>
      <c r="C407" s="15"/>
      <c r="D407" s="194"/>
      <c r="E407" s="208" t="s">
        <v>86</v>
      </c>
      <c r="F407" s="16"/>
      <c r="G407" s="17"/>
      <c r="H407" s="195"/>
      <c r="I407" s="18"/>
      <c r="J407" s="19"/>
      <c r="K407" s="94"/>
      <c r="L407" s="93"/>
    </row>
    <row r="408" spans="1:12" s="5" customFormat="1" x14ac:dyDescent="0.2">
      <c r="A408" s="133">
        <f>IF(F408&lt;&gt;"",1+MAX(A391:A407),"")</f>
        <v>174</v>
      </c>
      <c r="B408" s="15" t="s">
        <v>68</v>
      </c>
      <c r="C408" s="15"/>
      <c r="D408" s="194"/>
      <c r="E408" s="31" t="s">
        <v>74</v>
      </c>
      <c r="F408" s="16">
        <f>1956.9+1672.5+837.6</f>
        <v>4467</v>
      </c>
      <c r="G408" s="17">
        <v>0.1</v>
      </c>
      <c r="H408" s="195">
        <f>F408*(1+G408)</f>
        <v>4913.7000000000007</v>
      </c>
      <c r="I408" s="18" t="s">
        <v>16</v>
      </c>
      <c r="J408" s="19">
        <f>J$22</f>
        <v>0</v>
      </c>
      <c r="K408" s="94">
        <f>J408*H408</f>
        <v>0</v>
      </c>
      <c r="L408" s="93"/>
    </row>
    <row r="409" spans="1:12" s="5" customFormat="1" ht="16.5" thickBot="1" x14ac:dyDescent="0.25">
      <c r="A409" s="133" t="str">
        <f>IF(F409&lt;&gt;"",1+MAX(A392:A408),"")</f>
        <v/>
      </c>
      <c r="B409" s="32"/>
      <c r="C409" s="33"/>
      <c r="D409" s="15"/>
      <c r="E409" s="37"/>
      <c r="F409" s="20"/>
      <c r="G409" s="21"/>
      <c r="H409" s="20"/>
      <c r="I409" s="22"/>
      <c r="J409" s="23"/>
      <c r="K409" s="95"/>
      <c r="L409" s="96"/>
    </row>
    <row r="410" spans="1:12" s="5" customFormat="1" ht="16.5" thickBot="1" x14ac:dyDescent="0.25">
      <c r="A410" s="133" t="str">
        <f>IF(F410&lt;&gt;"",1+MAX(A393:A409),"")</f>
        <v/>
      </c>
      <c r="B410" s="32"/>
      <c r="C410" s="33"/>
      <c r="D410" s="33"/>
      <c r="E410" s="36" t="s">
        <v>67</v>
      </c>
      <c r="F410" s="24"/>
      <c r="G410" s="25"/>
      <c r="H410" s="26"/>
      <c r="I410" s="27"/>
      <c r="J410" s="214"/>
      <c r="K410" s="97"/>
      <c r="L410" s="98">
        <f>SUM(K398:K409)</f>
        <v>0</v>
      </c>
    </row>
    <row r="411" spans="1:12" s="5" customFormat="1" ht="16.5" thickBot="1" x14ac:dyDescent="0.25">
      <c r="A411" s="133" t="str">
        <f>IF(F411&lt;&gt;"",1+MAX(A396:A410),"")</f>
        <v/>
      </c>
      <c r="B411" s="32"/>
      <c r="C411" s="33"/>
      <c r="D411" s="33"/>
      <c r="E411" s="38"/>
      <c r="F411" s="16"/>
      <c r="G411" s="34"/>
      <c r="H411" s="29"/>
      <c r="I411" s="30"/>
      <c r="J411" s="19"/>
      <c r="K411" s="94"/>
      <c r="L411" s="93"/>
    </row>
    <row r="412" spans="1:12" ht="16.5" thickBot="1" x14ac:dyDescent="0.25">
      <c r="A412" s="114" t="s">
        <v>17</v>
      </c>
      <c r="B412" s="115"/>
      <c r="C412" s="115"/>
      <c r="D412" s="115"/>
      <c r="E412" s="116" t="s">
        <v>18</v>
      </c>
      <c r="F412" s="117"/>
      <c r="G412" s="118"/>
      <c r="H412" s="118"/>
      <c r="I412" s="119"/>
      <c r="J412" s="4"/>
      <c r="K412" s="121">
        <f>SUM(K369:K411)</f>
        <v>0</v>
      </c>
      <c r="L412" s="121">
        <f>SUM(L394:L411)</f>
        <v>0</v>
      </c>
    </row>
    <row r="413" spans="1:12" ht="16.5" thickBot="1" x14ac:dyDescent="0.25">
      <c r="A413" s="39" t="s">
        <v>20</v>
      </c>
      <c r="B413" s="40"/>
      <c r="C413" s="40"/>
      <c r="D413" s="40"/>
      <c r="E413" s="41"/>
      <c r="F413" s="42"/>
      <c r="G413" s="43"/>
      <c r="H413" s="43"/>
      <c r="I413" s="44"/>
      <c r="J413" s="112">
        <v>0.2</v>
      </c>
      <c r="K413" s="99">
        <f>J413*K412</f>
        <v>0</v>
      </c>
      <c r="L413" s="113">
        <f>J413*L412</f>
        <v>0</v>
      </c>
    </row>
    <row r="414" spans="1:12" ht="16.5" thickBot="1" x14ac:dyDescent="0.25">
      <c r="A414" s="114" t="s">
        <v>128</v>
      </c>
      <c r="B414" s="115"/>
      <c r="C414" s="115"/>
      <c r="D414" s="115"/>
      <c r="E414" s="116"/>
      <c r="F414" s="117"/>
      <c r="G414" s="118"/>
      <c r="H414" s="118"/>
      <c r="I414" s="119"/>
      <c r="J414" s="4"/>
      <c r="K414" s="120">
        <f>SUM(K412:K413)</f>
        <v>0</v>
      </c>
      <c r="L414" s="121">
        <f>SUM(L412:L413)</f>
        <v>0</v>
      </c>
    </row>
    <row r="415" spans="1:12" x14ac:dyDescent="0.2">
      <c r="A415" s="105" t="s">
        <v>27</v>
      </c>
    </row>
    <row r="416" spans="1:12" x14ac:dyDescent="0.2">
      <c r="A416" s="105" t="s">
        <v>64</v>
      </c>
    </row>
  </sheetData>
  <pageMargins left="0.25" right="0.25" top="0.75" bottom="0.75" header="0.3" footer="0.3"/>
  <pageSetup paperSize="9" scale="78" fitToHeight="0" orientation="landscape" r:id="rId1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E9919E6F-BFCC-49A4-8A68-5A584A42CA80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MASONRY ESTIMATE</vt:lpstr>
      <vt:lpstr>'MASONRY ESTIMATE'!Print_Area</vt:lpstr>
      <vt:lpstr>SUMMARY!Print_Area</vt:lpstr>
      <vt:lpstr>'MASONRY ESTIMATE'!Print_Titles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Asfand Rathore</dc:creator>
  <cp:lastModifiedBy>H.A.R</cp:lastModifiedBy>
  <cp:lastPrinted>2023-01-22T11:48:19Z</cp:lastPrinted>
  <dcterms:created xsi:type="dcterms:W3CDTF">2022-02-01T21:21:59Z</dcterms:created>
  <dcterms:modified xsi:type="dcterms:W3CDTF">2023-12-25T14:00:47Z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{E9919E6F-BFCC-49A4-8A68-5A584A42CA80}</vt:lpwstr>
  </property>
</Properties>
</file>