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0" yWindow="0" windowWidth="28800" windowHeight="12330"/>
  </bookViews>
  <sheets>
    <sheet name="SUMMARY" sheetId="14" r:id="rId1"/>
    <sheet name="STRUCTURAL STEEL" sheetId="13" r:id="rId2"/>
    <sheet name="MISC. STEEL" sheetId="15" r:id="rId3"/>
  </sheets>
  <definedNames>
    <definedName name="_xlnm._FilterDatabase" localSheetId="2" hidden="1">'MISC. STEEL'!$E$1:$E$61</definedName>
    <definedName name="_xlnm._FilterDatabase" localSheetId="1" hidden="1">'STRUCTURAL STEEL'!$J$1:$J$240</definedName>
    <definedName name="_xlnm.Print_Area" localSheetId="2">'MISC. STEEL'!$A$1:$L$62</definedName>
    <definedName name="_xlnm.Print_Area" localSheetId="1">'STRUCTURAL STEEL'!$A$1:$L$237</definedName>
    <definedName name="_xlnm.Print_Area" localSheetId="0">SUMMARY!$A$1:$F$23</definedName>
    <definedName name="_xlnm.Print_Titles" localSheetId="2">'MISC. STEEL'!$1:$6</definedName>
    <definedName name="_xlnm.Print_Titles" localSheetId="1">'STRUCTURAL STEEL'!$1:$6</definedName>
  </definedNames>
  <calcPr calcId="152511"/>
</workbook>
</file>

<file path=xl/calcChain.xml><?xml version="1.0" encoding="utf-8"?>
<calcChain xmlns="http://schemas.openxmlformats.org/spreadsheetml/2006/main">
  <c r="A17" i="15" l="1"/>
  <c r="A18" i="15"/>
  <c r="A20" i="15"/>
  <c r="A21" i="15"/>
  <c r="A23" i="15"/>
  <c r="A24" i="15"/>
  <c r="A31" i="15"/>
  <c r="A32" i="15"/>
  <c r="A41" i="15"/>
  <c r="A42" i="15"/>
  <c r="A48" i="15"/>
  <c r="A49" i="15"/>
  <c r="A50" i="15"/>
  <c r="A53" i="15"/>
  <c r="A55" i="15"/>
  <c r="A56" i="15"/>
  <c r="A57" i="15" l="1"/>
  <c r="F19" i="15" l="1"/>
  <c r="H19" i="15" s="1"/>
  <c r="K19" i="15" s="1"/>
  <c r="F52" i="15"/>
  <c r="F51" i="15"/>
  <c r="H52" i="15" l="1"/>
  <c r="K52" i="15" s="1"/>
  <c r="A58" i="15"/>
  <c r="H47" i="15"/>
  <c r="K47" i="15" s="1"/>
  <c r="H46" i="15"/>
  <c r="K46" i="15" s="1"/>
  <c r="H45" i="15"/>
  <c r="K45" i="15" s="1"/>
  <c r="H44" i="15"/>
  <c r="K44" i="15" s="1"/>
  <c r="H43" i="15"/>
  <c r="K43" i="15" s="1"/>
  <c r="H40" i="15"/>
  <c r="K40" i="15" s="1"/>
  <c r="H39" i="15"/>
  <c r="K39" i="15" s="1"/>
  <c r="H38" i="15"/>
  <c r="K38" i="15" s="1"/>
  <c r="H37" i="15"/>
  <c r="K37" i="15" s="1"/>
  <c r="H36" i="15"/>
  <c r="K36" i="15" s="1"/>
  <c r="H35" i="15"/>
  <c r="K35" i="15" s="1"/>
  <c r="H34" i="15"/>
  <c r="K34" i="15" s="1"/>
  <c r="H33" i="15"/>
  <c r="K33" i="15" s="1"/>
  <c r="H30" i="15"/>
  <c r="K30" i="15" s="1"/>
  <c r="H29" i="15"/>
  <c r="K29" i="15" s="1"/>
  <c r="H28" i="15"/>
  <c r="K28" i="15" s="1"/>
  <c r="H27" i="15"/>
  <c r="K27" i="15" s="1"/>
  <c r="H26" i="15"/>
  <c r="K26" i="15" s="1"/>
  <c r="H25" i="15"/>
  <c r="K25" i="15" s="1"/>
  <c r="M57" i="15"/>
  <c r="H54" i="15"/>
  <c r="K54" i="15" s="1"/>
  <c r="H51" i="15"/>
  <c r="K51" i="15" s="1"/>
  <c r="F22" i="15"/>
  <c r="H16" i="15"/>
  <c r="K16" i="15" s="1"/>
  <c r="F15" i="15"/>
  <c r="H15" i="15" s="1"/>
  <c r="K15" i="15" s="1"/>
  <c r="H14" i="15"/>
  <c r="K14" i="15" s="1"/>
  <c r="F13" i="15"/>
  <c r="H12" i="15"/>
  <c r="K12" i="15" s="1"/>
  <c r="H11" i="15"/>
  <c r="K11" i="15" s="1"/>
  <c r="H10" i="15"/>
  <c r="K10" i="15" s="1"/>
  <c r="H9" i="15"/>
  <c r="K9" i="15" s="1"/>
  <c r="A8" i="15"/>
  <c r="A7" i="15"/>
  <c r="H13" i="15" l="1"/>
  <c r="K13" i="15" s="1"/>
  <c r="H22" i="15"/>
  <c r="K22" i="15" s="1"/>
  <c r="A9" i="15"/>
  <c r="K59" i="15" l="1"/>
  <c r="K61" i="15" s="1"/>
  <c r="L56" i="15"/>
  <c r="L59" i="15" s="1"/>
  <c r="A10" i="15"/>
  <c r="A11" i="15" s="1"/>
  <c r="A12" i="15" l="1"/>
  <c r="A13" i="15" s="1"/>
  <c r="K60" i="15"/>
  <c r="K62" i="15" s="1"/>
  <c r="L61" i="15"/>
  <c r="L60" i="15"/>
  <c r="E11" i="14"/>
  <c r="A14" i="15" l="1"/>
  <c r="A15" i="15"/>
  <c r="L62" i="15"/>
  <c r="C5" i="15" s="1"/>
  <c r="E15" i="14" s="1"/>
  <c r="J102" i="13"/>
  <c r="J103" i="13"/>
  <c r="J106" i="13"/>
  <c r="J107" i="13"/>
  <c r="J108" i="13"/>
  <c r="J201" i="13"/>
  <c r="J220" i="13"/>
  <c r="F108" i="13"/>
  <c r="J101" i="13"/>
  <c r="J99" i="13"/>
  <c r="J186" i="13"/>
  <c r="J98" i="13"/>
  <c r="J11" i="13"/>
  <c r="J12" i="13"/>
  <c r="J13" i="13"/>
  <c r="J14" i="13"/>
  <c r="J15" i="13"/>
  <c r="J16" i="13"/>
  <c r="J17" i="13"/>
  <c r="J18" i="13"/>
  <c r="J27" i="13"/>
  <c r="J28" i="13"/>
  <c r="J29" i="13"/>
  <c r="J30" i="13"/>
  <c r="J31" i="13"/>
  <c r="J32" i="13"/>
  <c r="J33" i="13"/>
  <c r="J34" i="13"/>
  <c r="J35" i="13"/>
  <c r="J46" i="13"/>
  <c r="J47" i="13"/>
  <c r="J48" i="13"/>
  <c r="J49" i="13"/>
  <c r="J50" i="13"/>
  <c r="J51" i="13"/>
  <c r="J52" i="13"/>
  <c r="J53" i="13"/>
  <c r="J54" i="13"/>
  <c r="J55" i="13"/>
  <c r="J56" i="13"/>
  <c r="J57" i="13"/>
  <c r="J58" i="13"/>
  <c r="J59" i="13"/>
  <c r="J60" i="13"/>
  <c r="J61" i="13"/>
  <c r="J62" i="13"/>
  <c r="J63" i="13"/>
  <c r="J64" i="13"/>
  <c r="J65" i="13"/>
  <c r="J66" i="13"/>
  <c r="J67" i="13"/>
  <c r="J68" i="13"/>
  <c r="J71" i="13"/>
  <c r="J74" i="13"/>
  <c r="J75" i="13"/>
  <c r="J76" i="13"/>
  <c r="J77" i="13"/>
  <c r="J78" i="13"/>
  <c r="J86" i="13"/>
  <c r="J87" i="13"/>
  <c r="J88" i="13"/>
  <c r="J89" i="13"/>
  <c r="J90" i="13"/>
  <c r="J91" i="13"/>
  <c r="J92" i="13"/>
  <c r="J93" i="13"/>
  <c r="J94" i="13"/>
  <c r="J95" i="13"/>
  <c r="J112" i="13"/>
  <c r="J113" i="13"/>
  <c r="J114" i="13"/>
  <c r="J115" i="13"/>
  <c r="J116" i="13"/>
  <c r="J117" i="13"/>
  <c r="J118" i="13"/>
  <c r="J119" i="13"/>
  <c r="J122" i="13"/>
  <c r="J123" i="13"/>
  <c r="J126" i="13"/>
  <c r="J127" i="13"/>
  <c r="J128" i="13"/>
  <c r="J129" i="13"/>
  <c r="J130" i="13"/>
  <c r="J131" i="13"/>
  <c r="J132" i="13"/>
  <c r="J133" i="13"/>
  <c r="J134" i="13"/>
  <c r="J135" i="13"/>
  <c r="J136" i="13"/>
  <c r="J137" i="13"/>
  <c r="J138" i="13"/>
  <c r="J139" i="13"/>
  <c r="J140" i="13"/>
  <c r="J141" i="13"/>
  <c r="J142" i="13"/>
  <c r="J145" i="13"/>
  <c r="J146" i="13"/>
  <c r="J147" i="13"/>
  <c r="J148" i="13"/>
  <c r="J149" i="13"/>
  <c r="J150" i="13"/>
  <c r="J151" i="13"/>
  <c r="J152" i="13"/>
  <c r="J155" i="13"/>
  <c r="J156" i="13"/>
  <c r="J168" i="13"/>
  <c r="J169" i="13"/>
  <c r="J170" i="13"/>
  <c r="J171" i="13"/>
  <c r="J174" i="13"/>
  <c r="J175" i="13"/>
  <c r="J176" i="13"/>
  <c r="J177" i="13"/>
  <c r="J178" i="13"/>
  <c r="J181" i="13"/>
  <c r="J192" i="13"/>
  <c r="J193" i="13"/>
  <c r="J196" i="13"/>
  <c r="J197" i="13"/>
  <c r="J198" i="13"/>
  <c r="J205" i="13"/>
  <c r="J206" i="13"/>
  <c r="J207" i="13"/>
  <c r="J208" i="13"/>
  <c r="J230" i="13"/>
  <c r="A19" i="13"/>
  <c r="A20" i="13"/>
  <c r="A24" i="13"/>
  <c r="A25" i="13"/>
  <c r="A26" i="13"/>
  <c r="A36" i="13"/>
  <c r="A37" i="13"/>
  <c r="A44" i="13"/>
  <c r="A45" i="13"/>
  <c r="A69" i="13"/>
  <c r="A70" i="13"/>
  <c r="A72" i="13"/>
  <c r="A73" i="13"/>
  <c r="A79" i="13"/>
  <c r="A80" i="13"/>
  <c r="A83" i="13"/>
  <c r="A84" i="13"/>
  <c r="A85" i="13"/>
  <c r="A96" i="13"/>
  <c r="A97" i="13"/>
  <c r="A109" i="13"/>
  <c r="A110" i="13"/>
  <c r="A111" i="13"/>
  <c r="A120" i="13"/>
  <c r="A121" i="13"/>
  <c r="A124" i="13"/>
  <c r="A125" i="13"/>
  <c r="A143" i="13"/>
  <c r="A144" i="13"/>
  <c r="A153" i="13"/>
  <c r="A154" i="13"/>
  <c r="A157" i="13"/>
  <c r="A158" i="13"/>
  <c r="A165" i="13"/>
  <c r="A166" i="13"/>
  <c r="A167" i="13"/>
  <c r="A172" i="13"/>
  <c r="A173" i="13"/>
  <c r="A179" i="13"/>
  <c r="A180" i="13"/>
  <c r="A182" i="13"/>
  <c r="A183" i="13"/>
  <c r="A189" i="13"/>
  <c r="A190" i="13"/>
  <c r="A191" i="13"/>
  <c r="A194" i="13"/>
  <c r="A195" i="13"/>
  <c r="A199" i="13"/>
  <c r="A200" i="13"/>
  <c r="A203" i="13"/>
  <c r="A204" i="13"/>
  <c r="A209" i="13"/>
  <c r="A210" i="13"/>
  <c r="A212" i="13"/>
  <c r="A213" i="13"/>
  <c r="A217" i="13"/>
  <c r="A218" i="13"/>
  <c r="A227" i="13"/>
  <c r="A228" i="13"/>
  <c r="A231" i="13"/>
  <c r="A232" i="13"/>
  <c r="A233" i="13"/>
  <c r="F222" i="13"/>
  <c r="H222" i="13" s="1"/>
  <c r="K222" i="13" s="1"/>
  <c r="F223" i="13"/>
  <c r="H223" i="13" s="1"/>
  <c r="K223" i="13" s="1"/>
  <c r="F224" i="13"/>
  <c r="H224" i="13" s="1"/>
  <c r="K224" i="13" s="1"/>
  <c r="F225" i="13"/>
  <c r="F226" i="13"/>
  <c r="H226" i="13" s="1"/>
  <c r="K226" i="13" s="1"/>
  <c r="H225" i="13"/>
  <c r="K225" i="13" s="1"/>
  <c r="F220" i="13"/>
  <c r="H220" i="13" s="1"/>
  <c r="F221" i="13"/>
  <c r="H221" i="13" s="1"/>
  <c r="K221" i="13" s="1"/>
  <c r="A16" i="15" l="1"/>
  <c r="K220" i="13"/>
  <c r="F219" i="13"/>
  <c r="H219" i="13" s="1"/>
  <c r="K219" i="13" s="1"/>
  <c r="A19" i="15" l="1"/>
  <c r="F230" i="13"/>
  <c r="A22" i="15" l="1"/>
  <c r="H230" i="13"/>
  <c r="K230" i="13" s="1"/>
  <c r="H229" i="13"/>
  <c r="K229" i="13" s="1"/>
  <c r="F196" i="13"/>
  <c r="F198" i="13"/>
  <c r="F197" i="13"/>
  <c r="F193" i="13"/>
  <c r="F192" i="13"/>
  <c r="H216" i="13"/>
  <c r="K216" i="13" s="1"/>
  <c r="H215" i="13"/>
  <c r="K215" i="13" s="1"/>
  <c r="H214" i="13"/>
  <c r="K214" i="13" s="1"/>
  <c r="A27" i="15" l="1"/>
  <c r="A25" i="15"/>
  <c r="A26" i="15"/>
  <c r="F208" i="13"/>
  <c r="F207" i="13"/>
  <c r="F206" i="13"/>
  <c r="A29" i="15" l="1"/>
  <c r="A28" i="15"/>
  <c r="H208" i="13"/>
  <c r="K208" i="13" s="1"/>
  <c r="H207" i="13"/>
  <c r="K207" i="13" s="1"/>
  <c r="H206" i="13"/>
  <c r="K206" i="13" s="1"/>
  <c r="H198" i="13"/>
  <c r="K198" i="13" s="1"/>
  <c r="F205" i="13"/>
  <c r="H205" i="13" s="1"/>
  <c r="K205" i="13" s="1"/>
  <c r="H211" i="13"/>
  <c r="K211" i="13" s="1"/>
  <c r="H197" i="13"/>
  <c r="K197" i="13" s="1"/>
  <c r="F201" i="13"/>
  <c r="H201" i="13" s="1"/>
  <c r="K201" i="13" s="1"/>
  <c r="H202" i="13"/>
  <c r="K202" i="13" s="1"/>
  <c r="H196" i="13"/>
  <c r="K196" i="13" s="1"/>
  <c r="H193" i="13"/>
  <c r="K193" i="13" s="1"/>
  <c r="H192" i="13"/>
  <c r="K192" i="13" s="1"/>
  <c r="F40" i="13"/>
  <c r="H40" i="13" s="1"/>
  <c r="K40" i="13" s="1"/>
  <c r="F101" i="13"/>
  <c r="F74" i="13"/>
  <c r="F43" i="13"/>
  <c r="H43" i="13" s="1"/>
  <c r="K43" i="13" s="1"/>
  <c r="F50" i="13"/>
  <c r="H50" i="13" s="1"/>
  <c r="K50" i="13" s="1"/>
  <c r="F49" i="13"/>
  <c r="F48" i="13"/>
  <c r="F47" i="13"/>
  <c r="H47" i="13" s="1"/>
  <c r="K47" i="13" s="1"/>
  <c r="F46" i="13"/>
  <c r="H46" i="13" s="1"/>
  <c r="K46" i="13" s="1"/>
  <c r="H49" i="13"/>
  <c r="K49" i="13" s="1"/>
  <c r="F71" i="13"/>
  <c r="H71" i="13" s="1"/>
  <c r="K71" i="13" s="1"/>
  <c r="F39" i="13"/>
  <c r="F78" i="13"/>
  <c r="F77" i="13"/>
  <c r="H77" i="13" s="1"/>
  <c r="K77" i="13" s="1"/>
  <c r="F76" i="13"/>
  <c r="H76" i="13" s="1"/>
  <c r="K76" i="13" s="1"/>
  <c r="F75" i="13"/>
  <c r="H75" i="13" s="1"/>
  <c r="K75" i="13" s="1"/>
  <c r="F68" i="13"/>
  <c r="F67" i="13"/>
  <c r="H67" i="13" s="1"/>
  <c r="K67" i="13" s="1"/>
  <c r="F66" i="13"/>
  <c r="H66" i="13" s="1"/>
  <c r="K66" i="13" s="1"/>
  <c r="F65" i="13"/>
  <c r="H65" i="13" s="1"/>
  <c r="K65" i="13" s="1"/>
  <c r="F64" i="13"/>
  <c r="H64" i="13" s="1"/>
  <c r="K64" i="13" s="1"/>
  <c r="F63" i="13"/>
  <c r="F62" i="13"/>
  <c r="F61" i="13"/>
  <c r="H61" i="13" s="1"/>
  <c r="K61" i="13" s="1"/>
  <c r="F60" i="13"/>
  <c r="H60" i="13" s="1"/>
  <c r="K60" i="13" s="1"/>
  <c r="F59" i="13"/>
  <c r="H59" i="13" s="1"/>
  <c r="K59" i="13" s="1"/>
  <c r="F58" i="13"/>
  <c r="H58" i="13" s="1"/>
  <c r="K58" i="13" s="1"/>
  <c r="F57" i="13"/>
  <c r="H57" i="13" s="1"/>
  <c r="K57" i="13" s="1"/>
  <c r="F56" i="13"/>
  <c r="H56" i="13" s="1"/>
  <c r="K56" i="13" s="1"/>
  <c r="F55" i="13"/>
  <c r="H55" i="13" s="1"/>
  <c r="K55" i="13" s="1"/>
  <c r="F54" i="13"/>
  <c r="H54" i="13" s="1"/>
  <c r="K54" i="13" s="1"/>
  <c r="F53" i="13"/>
  <c r="H53" i="13" s="1"/>
  <c r="K53" i="13" s="1"/>
  <c r="F52" i="13"/>
  <c r="F51" i="13"/>
  <c r="H51" i="13" s="1"/>
  <c r="K51" i="13" s="1"/>
  <c r="H48" i="13"/>
  <c r="K48" i="13" s="1"/>
  <c r="A30" i="15" l="1"/>
  <c r="H78" i="13"/>
  <c r="K78" i="13" s="1"/>
  <c r="H68" i="13"/>
  <c r="K68" i="13" s="1"/>
  <c r="H63" i="13"/>
  <c r="K63" i="13" s="1"/>
  <c r="H62" i="13"/>
  <c r="K62" i="13" s="1"/>
  <c r="H52" i="13"/>
  <c r="K52" i="13" s="1"/>
  <c r="F119" i="13"/>
  <c r="H119" i="13" s="1"/>
  <c r="K119" i="13" s="1"/>
  <c r="F118" i="13"/>
  <c r="H118" i="13" s="1"/>
  <c r="K118" i="13" s="1"/>
  <c r="F117" i="13"/>
  <c r="H117" i="13" s="1"/>
  <c r="K117" i="13" s="1"/>
  <c r="H101" i="13"/>
  <c r="K101" i="13" s="1"/>
  <c r="F102" i="13"/>
  <c r="F130" i="13"/>
  <c r="F116" i="13"/>
  <c r="H116" i="13" s="1"/>
  <c r="K116" i="13" s="1"/>
  <c r="F123" i="13"/>
  <c r="F128" i="13"/>
  <c r="F122" i="13"/>
  <c r="F115" i="13"/>
  <c r="H115" i="13" s="1"/>
  <c r="K115" i="13" s="1"/>
  <c r="F114" i="13"/>
  <c r="H114" i="13" s="1"/>
  <c r="K114" i="13" s="1"/>
  <c r="F113" i="13"/>
  <c r="H113" i="13" s="1"/>
  <c r="K113" i="13" s="1"/>
  <c r="F112" i="13"/>
  <c r="H112" i="13" s="1"/>
  <c r="K112" i="13" s="1"/>
  <c r="F127" i="13"/>
  <c r="F142" i="13"/>
  <c r="H142" i="13" s="1"/>
  <c r="K142" i="13" s="1"/>
  <c r="F141" i="13"/>
  <c r="H141" i="13" s="1"/>
  <c r="K141" i="13" s="1"/>
  <c r="F140" i="13"/>
  <c r="H140" i="13" s="1"/>
  <c r="K140" i="13" s="1"/>
  <c r="F139" i="13"/>
  <c r="H139" i="13" s="1"/>
  <c r="K139" i="13" s="1"/>
  <c r="F138" i="13"/>
  <c r="H138" i="13" s="1"/>
  <c r="K138" i="13" s="1"/>
  <c r="F137" i="13"/>
  <c r="H137" i="13" s="1"/>
  <c r="K137" i="13" s="1"/>
  <c r="F136" i="13"/>
  <c r="F135" i="13"/>
  <c r="H135" i="13" s="1"/>
  <c r="K135" i="13" s="1"/>
  <c r="F134" i="13"/>
  <c r="H134" i="13" s="1"/>
  <c r="K134" i="13" s="1"/>
  <c r="F133" i="13"/>
  <c r="H133" i="13" s="1"/>
  <c r="K133" i="13" s="1"/>
  <c r="F132" i="13"/>
  <c r="H132" i="13" s="1"/>
  <c r="K132" i="13" s="1"/>
  <c r="F131" i="13"/>
  <c r="H131" i="13" s="1"/>
  <c r="K131" i="13" s="1"/>
  <c r="F129" i="13"/>
  <c r="A33" i="15" l="1"/>
  <c r="H136" i="13"/>
  <c r="K136" i="13" s="1"/>
  <c r="H102" i="13"/>
  <c r="K102" i="13" s="1"/>
  <c r="H108" i="13"/>
  <c r="K108" i="13" s="1"/>
  <c r="F107" i="13"/>
  <c r="H107" i="13" s="1"/>
  <c r="K107" i="13" s="1"/>
  <c r="F156" i="13"/>
  <c r="H156" i="13" s="1"/>
  <c r="K156" i="13" s="1"/>
  <c r="F155" i="13"/>
  <c r="H155" i="13" s="1"/>
  <c r="K155" i="13" s="1"/>
  <c r="F181" i="13"/>
  <c r="H181" i="13" s="1"/>
  <c r="K181" i="13" s="1"/>
  <c r="F152" i="13"/>
  <c r="H152" i="13" s="1"/>
  <c r="K152" i="13" s="1"/>
  <c r="F151" i="13"/>
  <c r="H151" i="13" s="1"/>
  <c r="K151" i="13" s="1"/>
  <c r="F150" i="13"/>
  <c r="H150" i="13" s="1"/>
  <c r="K150" i="13" s="1"/>
  <c r="F149" i="13"/>
  <c r="F148" i="13"/>
  <c r="F147" i="13"/>
  <c r="F146" i="13"/>
  <c r="F145" i="13"/>
  <c r="H130" i="13"/>
  <c r="K130" i="13" s="1"/>
  <c r="H129" i="13"/>
  <c r="K129" i="13" s="1"/>
  <c r="H128" i="13"/>
  <c r="K128" i="13" s="1"/>
  <c r="H127" i="13"/>
  <c r="K127" i="13" s="1"/>
  <c r="F126" i="13"/>
  <c r="H126" i="13" s="1"/>
  <c r="K126" i="13" s="1"/>
  <c r="H185" i="13"/>
  <c r="K185" i="13" s="1"/>
  <c r="F188" i="13"/>
  <c r="F187" i="13"/>
  <c r="H187" i="13" s="1"/>
  <c r="K187" i="13" s="1"/>
  <c r="F178" i="13"/>
  <c r="H178" i="13" s="1"/>
  <c r="K178" i="13" s="1"/>
  <c r="F174" i="13"/>
  <c r="H174" i="13" s="1"/>
  <c r="K174" i="13" s="1"/>
  <c r="F176" i="13"/>
  <c r="H176" i="13" s="1"/>
  <c r="K176" i="13" s="1"/>
  <c r="F175" i="13"/>
  <c r="H175" i="13" s="1"/>
  <c r="K175" i="13" s="1"/>
  <c r="F168" i="13"/>
  <c r="F171" i="13"/>
  <c r="H171" i="13" s="1"/>
  <c r="K171" i="13" s="1"/>
  <c r="F169" i="13"/>
  <c r="F170" i="13"/>
  <c r="H170" i="13" s="1"/>
  <c r="K170" i="13" s="1"/>
  <c r="F177" i="13"/>
  <c r="H177" i="13" s="1"/>
  <c r="K177" i="13" s="1"/>
  <c r="H186" i="13"/>
  <c r="K186" i="13" s="1"/>
  <c r="H184" i="13"/>
  <c r="K184" i="13" s="1"/>
  <c r="F103" i="13"/>
  <c r="H103" i="13" s="1"/>
  <c r="K103" i="13" s="1"/>
  <c r="F100" i="13"/>
  <c r="H100" i="13" s="1"/>
  <c r="K100" i="13" s="1"/>
  <c r="F104" i="13"/>
  <c r="H104" i="13" s="1"/>
  <c r="K104" i="13" s="1"/>
  <c r="H164" i="13"/>
  <c r="K164" i="13" s="1"/>
  <c r="H163" i="13"/>
  <c r="K163" i="13" s="1"/>
  <c r="F106" i="13"/>
  <c r="H106" i="13" s="1"/>
  <c r="K106" i="13" s="1"/>
  <c r="H105" i="13"/>
  <c r="K105" i="13" s="1"/>
  <c r="H162" i="13"/>
  <c r="K162" i="13" s="1"/>
  <c r="F161" i="13"/>
  <c r="H161" i="13" s="1"/>
  <c r="K161" i="13" s="1"/>
  <c r="F159" i="13"/>
  <c r="H160" i="13"/>
  <c r="K160" i="13" s="1"/>
  <c r="H82" i="13"/>
  <c r="K82" i="13" s="1"/>
  <c r="H74" i="13"/>
  <c r="K74" i="13" s="1"/>
  <c r="F41" i="13"/>
  <c r="H41" i="13" s="1"/>
  <c r="K41" i="13" s="1"/>
  <c r="H42" i="13"/>
  <c r="K42" i="13" s="1"/>
  <c r="H39" i="13"/>
  <c r="K39" i="13" s="1"/>
  <c r="F81" i="13"/>
  <c r="A34" i="15" l="1"/>
  <c r="H188" i="13"/>
  <c r="K188" i="13" s="1"/>
  <c r="H168" i="13"/>
  <c r="K168" i="13" s="1"/>
  <c r="H169" i="13"/>
  <c r="K169" i="13" s="1"/>
  <c r="H159" i="13"/>
  <c r="K159" i="13" s="1"/>
  <c r="A35" i="15" l="1"/>
  <c r="H99" i="13"/>
  <c r="K99" i="13" s="1"/>
  <c r="H81" i="13"/>
  <c r="K81" i="13" s="1"/>
  <c r="F98" i="13"/>
  <c r="F38" i="13"/>
  <c r="H38" i="13" s="1"/>
  <c r="K38" i="13" s="1"/>
  <c r="H122" i="13"/>
  <c r="K122" i="13" s="1"/>
  <c r="F95" i="13"/>
  <c r="H95" i="13" s="1"/>
  <c r="K95" i="13" s="1"/>
  <c r="F93" i="13"/>
  <c r="H93" i="13" s="1"/>
  <c r="K93" i="13" s="1"/>
  <c r="F92" i="13"/>
  <c r="H92" i="13" s="1"/>
  <c r="K92" i="13" s="1"/>
  <c r="F91" i="13"/>
  <c r="H91" i="13" s="1"/>
  <c r="K91" i="13" s="1"/>
  <c r="F90" i="13"/>
  <c r="F89" i="13"/>
  <c r="H89" i="13" s="1"/>
  <c r="K89" i="13" s="1"/>
  <c r="F88" i="13"/>
  <c r="F87" i="13"/>
  <c r="F86" i="13"/>
  <c r="F35" i="13"/>
  <c r="H35" i="13" s="1"/>
  <c r="K35" i="13" s="1"/>
  <c r="F34" i="13"/>
  <c r="H34" i="13" s="1"/>
  <c r="K34" i="13" s="1"/>
  <c r="F33" i="13"/>
  <c r="H33" i="13" s="1"/>
  <c r="K33" i="13" s="1"/>
  <c r="F32" i="13"/>
  <c r="H32" i="13" s="1"/>
  <c r="K32" i="13" s="1"/>
  <c r="F31" i="13"/>
  <c r="H31" i="13" s="1"/>
  <c r="K31" i="13" s="1"/>
  <c r="F30" i="13"/>
  <c r="H30" i="13" s="1"/>
  <c r="K30" i="13" s="1"/>
  <c r="F29" i="13"/>
  <c r="H29" i="13" s="1"/>
  <c r="K29" i="13" s="1"/>
  <c r="F28" i="13"/>
  <c r="F27" i="13"/>
  <c r="H27" i="13" s="1"/>
  <c r="K27" i="13" s="1"/>
  <c r="F94" i="13"/>
  <c r="H94" i="13" s="1"/>
  <c r="K94" i="13" s="1"/>
  <c r="H23" i="13"/>
  <c r="K23" i="13" s="1"/>
  <c r="F22" i="13"/>
  <c r="F21" i="13"/>
  <c r="F18" i="13"/>
  <c r="F17" i="13"/>
  <c r="F16" i="13"/>
  <c r="F15" i="13"/>
  <c r="F14" i="13"/>
  <c r="F13" i="13"/>
  <c r="F12" i="13"/>
  <c r="H12" i="13" s="1"/>
  <c r="K12" i="13" s="1"/>
  <c r="F11" i="13"/>
  <c r="F10" i="13"/>
  <c r="H10" i="13" s="1"/>
  <c r="K10" i="13" s="1"/>
  <c r="A9" i="13"/>
  <c r="A36" i="15" l="1"/>
  <c r="H16" i="13"/>
  <c r="K16" i="13" s="1"/>
  <c r="H22" i="13"/>
  <c r="K22" i="13" s="1"/>
  <c r="H28" i="13"/>
  <c r="K28" i="13" s="1"/>
  <c r="H11" i="13"/>
  <c r="K11" i="13" s="1"/>
  <c r="H15" i="13"/>
  <c r="K15" i="13" s="1"/>
  <c r="H21" i="13"/>
  <c r="K21" i="13" s="1"/>
  <c r="H13" i="13"/>
  <c r="K13" i="13" s="1"/>
  <c r="H17" i="13"/>
  <c r="K17" i="13" s="1"/>
  <c r="H14" i="13"/>
  <c r="K14" i="13" s="1"/>
  <c r="H18" i="13"/>
  <c r="K18" i="13" s="1"/>
  <c r="H123" i="13"/>
  <c r="K123" i="13" s="1"/>
  <c r="H90" i="13"/>
  <c r="K90" i="13" s="1"/>
  <c r="A7" i="13"/>
  <c r="A37" i="15" l="1"/>
  <c r="A10" i="13"/>
  <c r="H98" i="13"/>
  <c r="K98" i="13" s="1"/>
  <c r="H149" i="13"/>
  <c r="K149" i="13" s="1"/>
  <c r="H148" i="13"/>
  <c r="K148" i="13" s="1"/>
  <c r="H146" i="13"/>
  <c r="K146" i="13" s="1"/>
  <c r="H145" i="13"/>
  <c r="K145" i="13" s="1"/>
  <c r="H88" i="13"/>
  <c r="K88" i="13" s="1"/>
  <c r="H87" i="13"/>
  <c r="K87" i="13" s="1"/>
  <c r="H86" i="13"/>
  <c r="K86" i="13" s="1"/>
  <c r="A38" i="15" l="1"/>
  <c r="A11" i="13"/>
  <c r="H147" i="13"/>
  <c r="K147" i="13" s="1"/>
  <c r="L232" i="13" s="1"/>
  <c r="A39" i="15" l="1"/>
  <c r="A12" i="13"/>
  <c r="A40" i="15" l="1"/>
  <c r="A43" i="15" s="1"/>
  <c r="A45" i="15" s="1"/>
  <c r="A44" i="15"/>
  <c r="A13" i="13"/>
  <c r="K234" i="13"/>
  <c r="A46" i="15" l="1"/>
  <c r="K235" i="13"/>
  <c r="K236" i="13"/>
  <c r="A14" i="13"/>
  <c r="L234" i="13"/>
  <c r="A47" i="15" l="1"/>
  <c r="A51" i="15" s="1"/>
  <c r="K237" i="13"/>
  <c r="L236" i="13"/>
  <c r="L235" i="13"/>
  <c r="L237" i="13" s="1"/>
  <c r="C5" i="13" s="1"/>
  <c r="E14" i="14" s="1"/>
  <c r="E17" i="14" s="1"/>
  <c r="E19" i="14" s="1"/>
  <c r="A15" i="13"/>
  <c r="A16" i="13" s="1"/>
  <c r="A17" i="13" s="1"/>
  <c r="A52" i="15" l="1"/>
  <c r="A54" i="15" s="1"/>
  <c r="A18" i="13"/>
  <c r="A21" i="13" s="1"/>
  <c r="A22" i="13" s="1"/>
  <c r="A23" i="13" s="1"/>
  <c r="A27" i="13" s="1"/>
  <c r="A28" i="13" s="1"/>
  <c r="A29" i="13" s="1"/>
  <c r="A30" i="13" s="1"/>
  <c r="A31" i="13" s="1"/>
  <c r="A32" i="13" s="1"/>
  <c r="A33" i="13" s="1"/>
  <c r="A34" i="13" s="1"/>
  <c r="A35" i="13" s="1"/>
  <c r="A38" i="13" s="1"/>
  <c r="A39" i="13" s="1"/>
  <c r="A40" i="13" s="1"/>
  <c r="A41" i="13" s="1"/>
  <c r="A42" i="13" s="1"/>
  <c r="A43" i="13" s="1"/>
  <c r="A46" i="13" s="1"/>
  <c r="A47" i="13" s="1"/>
  <c r="A48" i="13" s="1"/>
  <c r="A49" i="13" s="1"/>
  <c r="A50" i="13" s="1"/>
  <c r="A51" i="13" s="1"/>
  <c r="A52" i="13" s="1"/>
  <c r="A53" i="13" s="1"/>
  <c r="A54" i="13" s="1"/>
  <c r="A55" i="13" s="1"/>
  <c r="A56" i="13" s="1"/>
  <c r="A57" i="13" s="1"/>
  <c r="A58" i="13" s="1"/>
  <c r="A59" i="13" s="1"/>
  <c r="A60" i="13" s="1"/>
  <c r="A61" i="13" s="1"/>
  <c r="A62" i="13" s="1"/>
  <c r="A63" i="13" s="1"/>
  <c r="A64" i="13" s="1"/>
  <c r="A65" i="13" s="1"/>
  <c r="A66" i="13" s="1"/>
  <c r="A67" i="13" s="1"/>
  <c r="A68" i="13" s="1"/>
  <c r="A71" i="13" s="1"/>
  <c r="A74" i="13" s="1"/>
  <c r="A75" i="13" s="1"/>
  <c r="A76" i="13" s="1"/>
  <c r="A77" i="13" s="1"/>
  <c r="A78" i="13" s="1"/>
  <c r="A81" i="13" s="1"/>
  <c r="A82" i="13" s="1"/>
  <c r="A86" i="13" s="1"/>
  <c r="A87" i="13" s="1"/>
  <c r="A88" i="13" s="1"/>
  <c r="A89" i="13" s="1"/>
  <c r="A90" i="13" s="1"/>
  <c r="A91" i="13" s="1"/>
  <c r="A92" i="13" s="1"/>
  <c r="A93" i="13" s="1"/>
  <c r="A94" i="13" s="1"/>
  <c r="A95" i="13" s="1"/>
  <c r="A98" i="13" s="1"/>
  <c r="A99" i="13" s="1"/>
  <c r="A100" i="13" s="1"/>
  <c r="A101" i="13" s="1"/>
  <c r="A102" i="13" s="1"/>
  <c r="A103" i="13" s="1"/>
  <c r="A104" i="13" s="1"/>
  <c r="A105" i="13" s="1"/>
  <c r="A106" i="13" s="1"/>
  <c r="A107" i="13" s="1"/>
  <c r="A108" i="13" s="1"/>
  <c r="A112" i="13" s="1"/>
  <c r="A113" i="13" s="1"/>
  <c r="A114" i="13" s="1"/>
  <c r="A115" i="13" s="1"/>
  <c r="A116" i="13" s="1"/>
  <c r="A117" i="13" s="1"/>
  <c r="A118" i="13" s="1"/>
  <c r="A119" i="13" s="1"/>
  <c r="A122" i="13" s="1"/>
  <c r="A123" i="13" s="1"/>
  <c r="A126" i="13" s="1"/>
  <c r="A127" i="13" s="1"/>
  <c r="A128" i="13" s="1"/>
  <c r="A129" i="13" s="1"/>
  <c r="A130" i="13" s="1"/>
  <c r="A131" i="13" s="1"/>
  <c r="A132" i="13" s="1"/>
  <c r="A133" i="13" s="1"/>
  <c r="A134" i="13" s="1"/>
  <c r="A135" i="13" s="1"/>
  <c r="A136" i="13" s="1"/>
  <c r="A137" i="13" s="1"/>
  <c r="A138" i="13" s="1"/>
  <c r="A139" i="13" s="1"/>
  <c r="A140" i="13" s="1"/>
  <c r="A141" i="13" s="1"/>
  <c r="A142" i="13" s="1"/>
  <c r="A145" i="13" s="1"/>
  <c r="A146" i="13" s="1"/>
  <c r="A147" i="13" s="1"/>
  <c r="A148" i="13" s="1"/>
  <c r="A149" i="13" s="1"/>
  <c r="A150" i="13" s="1"/>
  <c r="A151" i="13" s="1"/>
  <c r="A152" i="13" s="1"/>
  <c r="A155" i="13" s="1"/>
  <c r="A156" i="13" s="1"/>
  <c r="A159" i="13" s="1"/>
  <c r="A160" i="13" s="1"/>
  <c r="A161" i="13" s="1"/>
  <c r="A162" i="13" s="1"/>
  <c r="A163" i="13" s="1"/>
  <c r="A164" i="13" s="1"/>
  <c r="A168" i="13" s="1"/>
  <c r="A169" i="13" s="1"/>
  <c r="A170" i="13" s="1"/>
  <c r="A171" i="13" s="1"/>
  <c r="A174" i="13" s="1"/>
  <c r="A175" i="13" s="1"/>
  <c r="A176" i="13" s="1"/>
  <c r="A177" i="13" s="1"/>
  <c r="A178" i="13" s="1"/>
  <c r="A181" i="13" s="1"/>
  <c r="A184" i="13" s="1"/>
  <c r="A185" i="13" s="1"/>
  <c r="A186" i="13" s="1"/>
  <c r="A187" i="13" s="1"/>
  <c r="A188" i="13" s="1"/>
  <c r="A192" i="13" s="1"/>
  <c r="A193" i="13" s="1"/>
  <c r="A196" i="13" s="1"/>
  <c r="A197" i="13" s="1"/>
  <c r="A198" i="13" s="1"/>
  <c r="A201" i="13" s="1"/>
  <c r="A202" i="13" s="1"/>
  <c r="A205" i="13" s="1"/>
  <c r="A206" i="13" s="1"/>
  <c r="A207" i="13" s="1"/>
  <c r="A208" i="13" s="1"/>
  <c r="A211" i="13" s="1"/>
  <c r="A214" i="13" s="1"/>
  <c r="A215" i="13" s="1"/>
  <c r="A216" i="13" s="1"/>
  <c r="A219" i="13" s="1"/>
  <c r="A220" i="13" s="1"/>
  <c r="A221" i="13" s="1"/>
  <c r="A222" i="13" s="1"/>
  <c r="A223" i="13" s="1"/>
  <c r="A224" i="13" s="1"/>
  <c r="A225" i="13" s="1"/>
  <c r="A226" i="13" s="1"/>
  <c r="A229" i="13" s="1"/>
  <c r="A230" i="13" s="1"/>
</calcChain>
</file>

<file path=xl/sharedStrings.xml><?xml version="1.0" encoding="utf-8"?>
<sst xmlns="http://schemas.openxmlformats.org/spreadsheetml/2006/main" count="746" uniqueCount="263">
  <si>
    <t>UNIT</t>
  </si>
  <si>
    <t>DESCRIPTION</t>
  </si>
  <si>
    <t>UNIT COST</t>
  </si>
  <si>
    <t>WASTE</t>
  </si>
  <si>
    <t>QTY. W/ WASTE</t>
  </si>
  <si>
    <t>TOTAL COST</t>
  </si>
  <si>
    <t>PROJECT</t>
  </si>
  <si>
    <t>ADDRESS</t>
  </si>
  <si>
    <t>Date of submission</t>
  </si>
  <si>
    <t>Date of plans</t>
  </si>
  <si>
    <t>SR #</t>
  </si>
  <si>
    <t>SUB TOTALS</t>
  </si>
  <si>
    <t>OVERHEAD AND PROFIT</t>
  </si>
  <si>
    <t>SUB - TOTAL</t>
  </si>
  <si>
    <t>Sheet
No.</t>
  </si>
  <si>
    <t>Detail
No.</t>
  </si>
  <si>
    <t>QTY</t>
  </si>
  <si>
    <t>EA.</t>
  </si>
  <si>
    <t>05 00 00</t>
  </si>
  <si>
    <t>METALS</t>
  </si>
  <si>
    <t>BASE PLATES</t>
  </si>
  <si>
    <t>LB</t>
  </si>
  <si>
    <t>BEAMS</t>
  </si>
  <si>
    <t>S201-205</t>
  </si>
  <si>
    <t>Schedule/S201</t>
  </si>
  <si>
    <t>COLUMNS/POSTS</t>
  </si>
  <si>
    <r>
      <t xml:space="preserve">HSS 12X4X1/4 </t>
    </r>
    <r>
      <rPr>
        <b/>
        <sz val="12"/>
        <rFont val="Calibri"/>
        <family val="2"/>
        <scheme val="minor"/>
      </rPr>
      <t>(01 EA.)</t>
    </r>
  </si>
  <si>
    <r>
      <t xml:space="preserve">HSS 20X4X1/4 </t>
    </r>
    <r>
      <rPr>
        <b/>
        <sz val="12"/>
        <rFont val="Calibri"/>
        <family val="2"/>
        <scheme val="minor"/>
      </rPr>
      <t>(02 EA.)</t>
    </r>
  </si>
  <si>
    <r>
      <rPr>
        <b/>
        <sz val="12"/>
        <rFont val="Calibri"/>
        <family val="2"/>
        <scheme val="minor"/>
      </rPr>
      <t>Size:</t>
    </r>
    <r>
      <rPr>
        <sz val="12"/>
        <rFont val="Calibri"/>
        <family val="2"/>
        <scheme val="minor"/>
      </rPr>
      <t xml:space="preserve"> 1'-0"x1'-0"x7/8" W/
- (4) 3/4" Dia. A307 Anchor Bolts</t>
    </r>
  </si>
  <si>
    <r>
      <rPr>
        <b/>
        <sz val="12"/>
        <rFont val="Calibri"/>
        <family val="2"/>
        <scheme val="minor"/>
      </rPr>
      <t>Size:</t>
    </r>
    <r>
      <rPr>
        <sz val="12"/>
        <rFont val="Calibri"/>
        <family val="2"/>
        <scheme val="minor"/>
      </rPr>
      <t xml:space="preserve"> 1'-4"x1'-4"x7/8" W/
- (4) 3/4" Dia. A307 Anchor Bolts</t>
    </r>
  </si>
  <si>
    <r>
      <rPr>
        <b/>
        <sz val="12"/>
        <rFont val="Calibri"/>
        <family val="2"/>
        <scheme val="minor"/>
      </rPr>
      <t>Size:</t>
    </r>
    <r>
      <rPr>
        <sz val="12"/>
        <rFont val="Calibri"/>
        <family val="2"/>
        <scheme val="minor"/>
      </rPr>
      <t xml:space="preserve"> 7/8" L- Base Plate W/
- (4) 3/4" Dia. A307 Anchor Bolts</t>
    </r>
  </si>
  <si>
    <t>FRAME ELEVATIONS</t>
  </si>
  <si>
    <t>FIRST FLOOR FRAMING</t>
  </si>
  <si>
    <t>SECOND FLOOR FRAMING</t>
  </si>
  <si>
    <r>
      <t xml:space="preserve">HSS 6X6X3/8 </t>
    </r>
    <r>
      <rPr>
        <b/>
        <sz val="12"/>
        <rFont val="Calibri"/>
        <family val="2"/>
        <scheme val="minor"/>
      </rPr>
      <t>(01 EA.)</t>
    </r>
  </si>
  <si>
    <r>
      <t xml:space="preserve">HSS 8X8X3/8 </t>
    </r>
    <r>
      <rPr>
        <b/>
        <sz val="12"/>
        <rFont val="Calibri"/>
        <family val="2"/>
        <scheme val="minor"/>
      </rPr>
      <t>(04 EA.)</t>
    </r>
  </si>
  <si>
    <t>STEEL ANGLE</t>
  </si>
  <si>
    <t>PLATES</t>
  </si>
  <si>
    <t xml:space="preserve"> PLATES</t>
  </si>
  <si>
    <t>1/2" Cap Plates</t>
  </si>
  <si>
    <t>L-4X4X3/8</t>
  </si>
  <si>
    <t>L-8X4X3/8</t>
  </si>
  <si>
    <t>L-4X4X1/4</t>
  </si>
  <si>
    <t>1/4" Cap Plates</t>
  </si>
  <si>
    <t>LF</t>
  </si>
  <si>
    <t>METAL DECKING</t>
  </si>
  <si>
    <t>SF</t>
  </si>
  <si>
    <t>3" 20GA. Metal Deck (VERCO W3 Formlock)</t>
  </si>
  <si>
    <t>1,10/S103</t>
  </si>
  <si>
    <t>1/4" Bent Plates</t>
  </si>
  <si>
    <t>1/4" Gusset Plates</t>
  </si>
  <si>
    <t>10GA. Closure Plate</t>
  </si>
  <si>
    <t>6/S103</t>
  </si>
  <si>
    <t>1-1/2" 18GA. Metal Deck</t>
  </si>
  <si>
    <t>1-1/2" 18GA. Metal Roof Deck (VERCO HSB)</t>
  </si>
  <si>
    <t>1-1/2" 18GA. Metal Roof Deck (VERCO HSB-CD)</t>
  </si>
  <si>
    <t>5/16" Bent Plate</t>
  </si>
  <si>
    <t>1/2" Gusset Plates</t>
  </si>
  <si>
    <t>1-1/2" 20GA. Metal Deck</t>
  </si>
  <si>
    <t>L-4X3X1/4</t>
  </si>
  <si>
    <t>MAIN ROOF, MANSARD &amp; HIGH ROOF FRAMING</t>
  </si>
  <si>
    <t>1-1/2" 16GA. Metal Roof Deck @ Mansard (VERCO HSB-CD)</t>
  </si>
  <si>
    <t>16GA. Bent Closure Plate</t>
  </si>
  <si>
    <t>1/4" Bent Plate</t>
  </si>
  <si>
    <t>3" 18GA. Metal Roof Deck @ High Roof (VERCO PLN3-CD)</t>
  </si>
  <si>
    <t>1-1/2" 18GA. Metal Roof Deck @ High Roof (VERCO PLN3-CD)</t>
  </si>
  <si>
    <t>S301-S303</t>
  </si>
  <si>
    <t>W-21X62</t>
  </si>
  <si>
    <t>W-21X50</t>
  </si>
  <si>
    <t>W-18X35</t>
  </si>
  <si>
    <t>W-21X57</t>
  </si>
  <si>
    <t>W-21X93</t>
  </si>
  <si>
    <t>BRACING</t>
  </si>
  <si>
    <t>HSS-4X4X5/16</t>
  </si>
  <si>
    <t>5/16" Gusset Plate</t>
  </si>
  <si>
    <t>13/S604</t>
  </si>
  <si>
    <t>12/S604</t>
  </si>
  <si>
    <t>3/8" Thk Base Plate</t>
  </si>
  <si>
    <r>
      <rPr>
        <b/>
        <sz val="12"/>
        <rFont val="Calibri"/>
        <family val="2"/>
        <scheme val="minor"/>
      </rPr>
      <t>Size:</t>
    </r>
    <r>
      <rPr>
        <sz val="12"/>
        <rFont val="Calibri"/>
        <family val="2"/>
        <scheme val="minor"/>
      </rPr>
      <t xml:space="preserve"> 2'-6"x1'-8"x3" W/
- (5) 2" Dia. Anchor Bolts</t>
    </r>
  </si>
  <si>
    <r>
      <rPr>
        <b/>
        <sz val="12"/>
        <rFont val="Calibri"/>
        <family val="2"/>
        <scheme val="minor"/>
      </rPr>
      <t>Size:</t>
    </r>
    <r>
      <rPr>
        <sz val="12"/>
        <rFont val="Calibri"/>
        <family val="2"/>
        <scheme val="minor"/>
      </rPr>
      <t xml:space="preserve"> 3'-0"x2'-0"x3 3/4" W/
- (5) 2" Dia. Anchor Bolts</t>
    </r>
  </si>
  <si>
    <t>BEAMS (HIGH ROOF)</t>
  </si>
  <si>
    <t>W-12X19</t>
  </si>
  <si>
    <t>W-14X22</t>
  </si>
  <si>
    <t>W-16X26</t>
  </si>
  <si>
    <t>W-21X44</t>
  </si>
  <si>
    <t>W-24X62</t>
  </si>
  <si>
    <t>W-24X76</t>
  </si>
  <si>
    <t>W-27X84</t>
  </si>
  <si>
    <t>W-8X21</t>
  </si>
  <si>
    <t>BEAMS (MANSARD ROOF)</t>
  </si>
  <si>
    <t>HSS-6X6X5/16</t>
  </si>
  <si>
    <t>HSS-8X6X5/16</t>
  </si>
  <si>
    <t>1/4" Bent Plate x 0'-4" Long</t>
  </si>
  <si>
    <t>S602</t>
  </si>
  <si>
    <t>1/4" Stiffener Plates</t>
  </si>
  <si>
    <t>BEAMS (MAIN ROOF)</t>
  </si>
  <si>
    <t>HSS-6X6X1/4</t>
  </si>
  <si>
    <t>HSS-12X6X3/8</t>
  </si>
  <si>
    <t>HSS-8X6X3/8</t>
  </si>
  <si>
    <t>W-10X12</t>
  </si>
  <si>
    <t>W-14X26</t>
  </si>
  <si>
    <t>W-16X31</t>
  </si>
  <si>
    <t>W-18X40</t>
  </si>
  <si>
    <t>W-21X48</t>
  </si>
  <si>
    <t>W-24X55</t>
  </si>
  <si>
    <t>W-24X68</t>
  </si>
  <si>
    <t>C-CHANNELS</t>
  </si>
  <si>
    <t>C-6X8.2</t>
  </si>
  <si>
    <t>C-9X20</t>
  </si>
  <si>
    <t>L-3X3X1/4</t>
  </si>
  <si>
    <t>L-4X4X5/16</t>
  </si>
  <si>
    <t>L-5X5X3/8</t>
  </si>
  <si>
    <t>W-12X26</t>
  </si>
  <si>
    <t>W-16X77</t>
  </si>
  <si>
    <t>W-30X108</t>
  </si>
  <si>
    <t>W-30X132</t>
  </si>
  <si>
    <t>W-30X90</t>
  </si>
  <si>
    <t>L-2X2X3/8</t>
  </si>
  <si>
    <t>HSS-12X8X5/8</t>
  </si>
  <si>
    <t>HSS-2X2X1/4</t>
  </si>
  <si>
    <t>HSS-4X4X1/4</t>
  </si>
  <si>
    <t>HSS-8X4X3/8</t>
  </si>
  <si>
    <t>STAIRS FRAMING</t>
  </si>
  <si>
    <t>HSS-14X6X3/8</t>
  </si>
  <si>
    <t>HSS-14X4X3/8</t>
  </si>
  <si>
    <t>HSS-8X8X3/8</t>
  </si>
  <si>
    <t>1/4" End Plates</t>
  </si>
  <si>
    <t>HSS-12X8X3/8</t>
  </si>
  <si>
    <t>STEEL PAN</t>
  </si>
  <si>
    <t>12GA. Steel Pan @ Landings</t>
  </si>
  <si>
    <t>HSS-12X4X3/8</t>
  </si>
  <si>
    <t>L-3.5X3.5X1/2</t>
  </si>
  <si>
    <t>L-1.5X1.5X3/16</t>
  </si>
  <si>
    <t>Stair
Size: 6'-0" x 0'-11"</t>
  </si>
  <si>
    <t>Stair
Size: 4'-4" x 0'-11"</t>
  </si>
  <si>
    <t>Stair
Size: 6'-0" x 1'-0"</t>
  </si>
  <si>
    <t>STEEL STEPS</t>
  </si>
  <si>
    <t>STRINGERS</t>
  </si>
  <si>
    <t>MISC. STEEL ALLOWANCES</t>
  </si>
  <si>
    <t>Allowance For Connections, Misc. Plates , Anchor Bolts, Shear Studs &amp; Other Items</t>
  </si>
  <si>
    <t>LS</t>
  </si>
  <si>
    <t>Allowance For Misc. Steel Items</t>
  </si>
  <si>
    <t>MISC. ITEMS</t>
  </si>
  <si>
    <t>Shear Studs</t>
  </si>
  <si>
    <t>5/16"  Plates</t>
  </si>
  <si>
    <t xml:space="preserve">3/8" Plate W/
(3) Bolts </t>
  </si>
  <si>
    <t xml:space="preserve">1/2" Plate W/
(4) Bolts </t>
  </si>
  <si>
    <t xml:space="preserve">5/8" Plate W/
(5) Bolts </t>
  </si>
  <si>
    <t xml:space="preserve">5/8" Plate W/
(6) Bolts </t>
  </si>
  <si>
    <t xml:space="preserve">5/8" Plate W/
(7) Bolts </t>
  </si>
  <si>
    <t>Structural Steel</t>
  </si>
  <si>
    <t>CONTINGENCY &amp; ESCALATION</t>
  </si>
  <si>
    <t>Mobilization &amp; General Conditions</t>
  </si>
  <si>
    <t>Supervision &amp; Inspection</t>
  </si>
  <si>
    <t>Next Tab For Detailed Estimate</t>
  </si>
  <si>
    <t>STRUCTURAL STEEL</t>
  </si>
  <si>
    <t>CSI
No.</t>
  </si>
  <si>
    <t>QTY.</t>
  </si>
  <si>
    <t>TOTAL UNIT COST</t>
  </si>
  <si>
    <t>RAILINGS</t>
  </si>
  <si>
    <t>A201B-A202B
&amp;
A-532</t>
  </si>
  <si>
    <t>3/A-535</t>
  </si>
  <si>
    <r>
      <rPr>
        <b/>
        <sz val="12"/>
        <rFont val="Calibri"/>
        <family val="2"/>
        <scheme val="minor"/>
      </rPr>
      <t>05.52A Railing System As;</t>
    </r>
    <r>
      <rPr>
        <sz val="12"/>
        <rFont val="Calibri"/>
        <family val="2"/>
        <scheme val="minor"/>
      </rPr>
      <t xml:space="preserve">
- 1.5" OD x 0.065" Stainless Steel Tube w/ Saddle Wall Rail
- 4-1/2" Dia. X 1/4"Thk. Plate Countersink for Flathead Screws
- 1" Dia. X 7/8" Bracket Collar
- (4) #12 Flathead Stainless Steel SMS</t>
    </r>
  </si>
  <si>
    <t>2,4/A-535</t>
  </si>
  <si>
    <r>
      <rPr>
        <b/>
        <sz val="12"/>
        <rFont val="Calibri"/>
        <family val="2"/>
        <scheme val="minor"/>
      </rPr>
      <t>05.52B Railing System As;</t>
    </r>
    <r>
      <rPr>
        <sz val="12"/>
        <rFont val="Calibri"/>
        <family val="2"/>
        <scheme val="minor"/>
      </rPr>
      <t xml:space="preserve">
- 3" x 1-1/2" x 3/16" Galvanized &amp; Painted Steel Top Rail
- 5/8" Dia. Galvanized &amp; Painted Steel Rod Raiser
- 1-1/2' Dia. Galvanized Steel; Tube Handrail Attached to Post.
- 2-1/4" x 2-1/4" x 1/4" Galvanized &amp; Painted Steel Posts
- 1-1/2" Dia. Galvanized &amp; Painted Metal Handrails
- 3/16" Dia. Stainless Steel Cable Rail</t>
    </r>
  </si>
  <si>
    <t>1,2/A-525</t>
  </si>
  <si>
    <r>
      <rPr>
        <b/>
        <sz val="12"/>
        <rFont val="Calibri"/>
        <family val="2"/>
        <scheme val="minor"/>
      </rPr>
      <t>05.52C Railing System As;</t>
    </r>
    <r>
      <rPr>
        <sz val="12"/>
        <rFont val="Calibri"/>
        <family val="2"/>
        <scheme val="minor"/>
      </rPr>
      <t xml:space="preserve">
- 1.5" OD x 0.065" Stainless Steel Tube
- 9/16"Thk. CLR. Tempered PVB Laminated Glass w/ Color Interlayer
- 1-7/8" Dia. X 0.38" I.D. Washer
- 1" Dia. X 7/8" Bracket Collar
- Bracket, Saddle Stainless Steel Casting
- 2-1/4" Stainless Steel Rail Bracket Arm
- 2" Dia. x 1/4" Wall Plate
- 16 GA V-CUT #4 Long Grain Finish Stainless Steel Cladding To Conceal Aluminum Base Trim, Per  Railing Manufacturer
- Rockite Glass Set Int-Ext Fill Level 
- Neoprene Trim Gasket To Obtain Full Weather Tight Seal
- 1/2-13 X 1 1/4 Counter Bore Screw @ 2'-3'" O.C
- 2 1/2"W X 4"H Extruded Aluminum Base 
- 3/4" O.D. Nylon Washer 
- (St-B-MB) 2 X 2 1/2 X 1/2 Steel Plate @ 2'-3" O.C.</t>
    </r>
  </si>
  <si>
    <t>A-524</t>
  </si>
  <si>
    <r>
      <rPr>
        <b/>
        <sz val="12"/>
        <rFont val="Calibri"/>
        <family val="2"/>
        <scheme val="minor"/>
      </rPr>
      <t>05.73A Railing System As;</t>
    </r>
    <r>
      <rPr>
        <sz val="12"/>
        <rFont val="Calibri"/>
        <family val="2"/>
        <scheme val="minor"/>
      </rPr>
      <t xml:space="preserve">
- Wall Formed Stainless Steel Cap Rail #4 Burshed Finish
- 1.5" OD x 0.065" Stainless Steel Tube Guardrail w/ Stainless Steel Bracket Attached to Glass Railing System
- 9/16"Thk. CLR. Tempered PVB Laminated Glass w/ Color Interlayer
- 1-7/8" Dia. X 0.38" I.D. Washer
- 1" Dia. X 7/8" Bracket Collar
- 2-1/4" Stainless Steel Rail Bracket Arm
- Bracket, Saddle Stainless Steel Casting
- 2" Dia. x 1/4" Wall Plate
- 1-7/8" Dia. X 0.38" I.D. Washer</t>
    </r>
  </si>
  <si>
    <t>2/A-543</t>
  </si>
  <si>
    <r>
      <rPr>
        <b/>
        <sz val="12"/>
        <rFont val="Calibri"/>
        <family val="2"/>
        <scheme val="minor"/>
      </rPr>
      <t>05.73B Railing System As;</t>
    </r>
    <r>
      <rPr>
        <sz val="12"/>
        <rFont val="Calibri"/>
        <family val="2"/>
        <scheme val="minor"/>
      </rPr>
      <t xml:space="preserve">
- 3" x 1-1/2" x 3/16" Galvanized &amp; Painted Steel Top Rail
- 5/8" Dia. Galvanized &amp; Painted Steel Rod Raiser
- 3/8" Dia Galvanized Steel Rod Bracket
- 1" Dia. Galvanized Steel Rod Bracket
- 1-1/2' Dia. Galvanized Steel; Tube Handrail Attached to Post.
- 2-1/4" x 2-1/4" x 1/4" Galvanized &amp; Painted Steel Posts
- 1-1/2" Dia. Galvanized &amp; Painted Metal Handrails
- 3/16" Dia. Stainless Steel Cable Rail @ 3-3/4" O.C. Max. w/ Invisiware Fitting. Provide 15/32" Dia Holes @ Tensioning Posta. Provide 3/8" Dia Holes @ Intermidiate Posts</t>
    </r>
  </si>
  <si>
    <r>
      <rPr>
        <b/>
        <sz val="12"/>
        <rFont val="Calibri"/>
        <family val="2"/>
        <scheme val="minor"/>
      </rPr>
      <t>05.73C 42" High Railing System As;</t>
    </r>
    <r>
      <rPr>
        <sz val="12"/>
        <rFont val="Calibri"/>
        <family val="2"/>
        <scheme val="minor"/>
      </rPr>
      <t xml:space="preserve">
- Wall Formed Stainless Steel Cap Rail #4 Burshed Finish
- 1.5" OD x 0.065" Stainless Steel Tube Guardrail w/ Stainless Steel Bracket Attached to Glass Railing System
- 9/16"Thk. CLR. Tempered PVB Laminated Glass w/ Color Interlayer
- 1-7/8" Dia. X 0.38" I.D. Washer
- 1" Dia. X 7/8" Bracket Collar
- 2-1/4" Stainless Steel Rail Bracket Arm
- Bracket, Saddle Stainless Steel Casting
- 2" Dia. x 1/4" Wall Plate
- 1-7/8" Dia. X 0.38" I.D. Washer</t>
    </r>
  </si>
  <si>
    <t>1/A-544</t>
  </si>
  <si>
    <r>
      <rPr>
        <b/>
        <sz val="12"/>
        <rFont val="Calibri"/>
        <family val="2"/>
        <scheme val="minor"/>
      </rPr>
      <t>05.73E Railing System As;</t>
    </r>
    <r>
      <rPr>
        <sz val="12"/>
        <rFont val="Calibri"/>
        <family val="2"/>
        <scheme val="minor"/>
      </rPr>
      <t xml:space="preserve">
- 3" x 1-1/2" x 3/16" Galvanized &amp; Painted Steel Top Rail
- 1-1/2" x 3" x 1/8" Steel Plate
- 1/4" Dia Galvanized &amp; Painted Rod
- 1-1/2' Dia. Galvanized Steel; Tube Handrail Welded to Stringers
- 2-1/4" x 2-1/4" x 1/4" Galvanized &amp; Painted Steel Posts
- 3/16" Dia. Stainless Steel Cable Rail @ 3-3/4" O.C. Max. w/ Invisiware Fitting. Provide 15/32" Dia Holes @ Tensioning Posta. Provide 3/8" Dia Holes @ Intermidiate Posts
- 3-1/2" x 1/4" Galvanized &amp; Painted Flat Bar</t>
    </r>
  </si>
  <si>
    <r>
      <rPr>
        <b/>
        <sz val="12"/>
        <rFont val="Calibri"/>
        <family val="2"/>
        <scheme val="minor"/>
      </rPr>
      <t>05.73F 54" High Railing System As;</t>
    </r>
    <r>
      <rPr>
        <sz val="12"/>
        <rFont val="Calibri"/>
        <family val="2"/>
        <scheme val="minor"/>
      </rPr>
      <t xml:space="preserve">
- Wall Formed Stainless Steel Cap Rail #4 Burshed Finish
- 1.5" OD x 0.065" Stainless Steel Tube Guardrail w/ Stainless Steel Bracket Attached to Glass Railing System
- 9/16"Thk. CLR. Tempered PVB Laminated Glass w/ Color Interlayer
- 1-7/8" Dia. X 0.38" I.D. Washer
- 1" Dia. X 7/8" Bracket Collar
- 2-1/4" Stainless Steel Rail Bracket Arm
- Bracket, Saddle Stainless Steel Casting
- 2" Dia. x 1/4" Wall Plate
- 1-7/8" Dia. X 0.38" I.D. Washer</t>
    </r>
  </si>
  <si>
    <t>CANOPY</t>
  </si>
  <si>
    <t>A202A</t>
  </si>
  <si>
    <t>08.42A</t>
  </si>
  <si>
    <t>Canopy</t>
  </si>
  <si>
    <t>6/A-702</t>
  </si>
  <si>
    <t>7/A-921</t>
  </si>
  <si>
    <t>Decorative Metal Reveal @ Edge of Concrete Floor
- 4" x 2" Wide L Angle Strip Reveal Attached to Floor W/ 
- 1/4" Dia. HILTI KWIK HUS-EZ ICC ESR-3027</t>
  </si>
  <si>
    <t>EXTERIOR SIGNAGES</t>
  </si>
  <si>
    <t>A-977</t>
  </si>
  <si>
    <r>
      <rPr>
        <b/>
        <sz val="12"/>
        <rFont val="Calibri"/>
        <family val="2"/>
        <scheme val="minor"/>
      </rPr>
      <t>Signage - 1, 3, 5 &amp; 7</t>
    </r>
    <r>
      <rPr>
        <sz val="12"/>
        <rFont val="Calibri"/>
        <family val="2"/>
        <scheme val="minor"/>
      </rPr>
      <t xml:space="preserve">
- 12" High 1/4" Deep Cut Aluminum Letter, Painted Finish Dark Bronze. Wall Mounted to be Secured with 1/8" (3) Min. Stainless Steel Threaded Rod &amp; Adhesive with 1/4" Deep Aluminum Spacers, To Match Wall Colors.
Front: Helvetica Neue Medium
- 1/8" Thk Stainless Steel Threaded Rods. 1-5/8" Min. Embedment Depth
</t>
    </r>
    <r>
      <rPr>
        <b/>
        <sz val="12"/>
        <rFont val="Calibri"/>
        <family val="2"/>
        <scheme val="minor"/>
      </rPr>
      <t>Lettering: "8100"</t>
    </r>
  </si>
  <si>
    <r>
      <rPr>
        <b/>
        <sz val="12"/>
        <rFont val="Calibri"/>
        <family val="2"/>
        <scheme val="minor"/>
      </rPr>
      <t>Signage - 2, 4, 6 &amp; 8</t>
    </r>
    <r>
      <rPr>
        <sz val="12"/>
        <rFont val="Calibri"/>
        <family val="2"/>
        <scheme val="minor"/>
      </rPr>
      <t xml:space="preserve">
- 12" High 1/4" Deep Cut Aluminum Letter, Painted Finish Dark Bronze. Wall Mounted to be Secured with 1/8" (3) Min. Stainless Steel Threaded Rod &amp; Adhesive with 1/4" Deep Aluminum Spacers, To Match Wall Colors.
Front: Helvetica Neue Medium
- 1/8" Thk Stainless Steel Threaded Rods. 1-5/8" Min. Embedment Depth
</t>
    </r>
    <r>
      <rPr>
        <b/>
        <sz val="12"/>
        <rFont val="Calibri"/>
        <family val="2"/>
        <scheme val="minor"/>
      </rPr>
      <t>Lettering: "8000"</t>
    </r>
  </si>
  <si>
    <r>
      <rPr>
        <b/>
        <sz val="12"/>
        <rFont val="Calibri"/>
        <family val="2"/>
        <scheme val="minor"/>
      </rPr>
      <t>Signage - 9</t>
    </r>
    <r>
      <rPr>
        <sz val="12"/>
        <rFont val="Calibri"/>
        <family val="2"/>
        <scheme val="minor"/>
      </rPr>
      <t xml:space="preserve">
- 18" High 1/4" Deep Cut Aluminum Letter, Painted Finish Dark Bronze. Wall Mounted to be Secured with 1/8" (3) Min. Stainless Steel Threaded Rod &amp; Adhesive with 1/4" Deep Aluminum Spacers, To Match Wall Colors.
Front: Helvetica Neue Medium
- 1/8" Thk Stainless Steel Threaded Rods. 1-5/8" Min. Embedment Depth
</t>
    </r>
    <r>
      <rPr>
        <b/>
        <sz val="12"/>
        <rFont val="Calibri"/>
        <family val="2"/>
        <scheme val="minor"/>
      </rPr>
      <t>Lettering: "COFFEE"</t>
    </r>
  </si>
  <si>
    <r>
      <rPr>
        <b/>
        <sz val="12"/>
        <rFont val="Calibri"/>
        <family val="2"/>
        <scheme val="minor"/>
      </rPr>
      <t>Signage - 10</t>
    </r>
    <r>
      <rPr>
        <sz val="12"/>
        <rFont val="Calibri"/>
        <family val="2"/>
        <scheme val="minor"/>
      </rPr>
      <t xml:space="preserve">
- 12" High 1/4" Deep Cut Aluminum Letter, Painted Finish Dark Bronze. Wall Mounted to be Secured with 1/8" (3) Min. Stainless Steel Threaded Rod &amp; Adhesive with 1/4" Deep Aluminum Spacers, To Match Wall Colors.
Front: Helvetica Neue Medium
- 1/8" Thk Stainless Steel Threaded Rods. 1-5/8" Min. Embedment Depth
- 15" High 1/4" Deep Cut Aluminum Piece, Painted. Finish: Dark Bronze.
</t>
    </r>
    <r>
      <rPr>
        <b/>
        <sz val="12"/>
        <rFont val="Calibri"/>
        <family val="2"/>
        <scheme val="minor"/>
      </rPr>
      <t>Lettering: "BOARD ROOM I J.VARD LOOMIS"</t>
    </r>
  </si>
  <si>
    <r>
      <rPr>
        <b/>
        <sz val="12"/>
        <rFont val="Calibri"/>
        <family val="2"/>
        <scheme val="minor"/>
      </rPr>
      <t>Signage - 11</t>
    </r>
    <r>
      <rPr>
        <sz val="12"/>
        <rFont val="Calibri"/>
        <family val="2"/>
        <scheme val="minor"/>
      </rPr>
      <t xml:space="preserve">
- 24" High 1/2" Deep Cut Aluminum Letter, Painted 
Finish: Dark Bronze. Wall Mounted To Be Secured With 1/8" (3) Min. Stainless Steel Threaded Rod And Adhesive With 1/2" Deep Aluminum Spacers , To Match Wall Colors Cuesta College Text Per Cuesta Standards.
- 1/8" Thk Stainless Steel Threaded Rods. 1-5/8" Min. Embedment Depth
</t>
    </r>
    <r>
      <rPr>
        <b/>
        <sz val="12"/>
        <rFont val="Calibri"/>
        <family val="2"/>
        <scheme val="minor"/>
      </rPr>
      <t>Lettering: "CUESTA COLLEGE"</t>
    </r>
  </si>
  <si>
    <r>
      <rPr>
        <b/>
        <sz val="12"/>
        <rFont val="Calibri"/>
        <family val="2"/>
        <scheme val="minor"/>
      </rPr>
      <t>Signage - 11 &amp; 12</t>
    </r>
    <r>
      <rPr>
        <sz val="12"/>
        <rFont val="Calibri"/>
        <family val="2"/>
        <scheme val="minor"/>
      </rPr>
      <t xml:space="preserve">
- 20" High 1/2" Deep Cut Aluminum Letter, Painted 
Finish: Dark Bronze. Wall Mounted To Be Secured With 1/8" (3) Min. Stainless Steel Threaded Rod And Adhesive With 1/2" Deep Aluminum Spacers , To Match Wall Colors Cuesta College Text Per Cuesta Standards.
Front: Helvetica Neue Medium
- 1/8" Thk Stainless Steel Threaded Rods. 1-5/8" Min. Embedment Depth
</t>
    </r>
    <r>
      <rPr>
        <b/>
        <sz val="12"/>
        <rFont val="Calibri"/>
        <family val="2"/>
        <scheme val="minor"/>
      </rPr>
      <t>Lettering: "CAMPUS CENTER"</t>
    </r>
  </si>
  <si>
    <t>INTERIOR SIGNAGES</t>
  </si>
  <si>
    <t>A-978</t>
  </si>
  <si>
    <r>
      <rPr>
        <b/>
        <sz val="12"/>
        <rFont val="Calibri"/>
        <family val="2"/>
        <scheme val="minor"/>
      </rPr>
      <t>President's Office Signage</t>
    </r>
    <r>
      <rPr>
        <sz val="12"/>
        <rFont val="Calibri"/>
        <family val="2"/>
        <scheme val="minor"/>
      </rPr>
      <t xml:space="preserve">
- 3" High 1/4" Deep Cut Out Aluminum Letter, Paint Finish Dark Bronze, Drill And Tap Back Of Letters Secured To Wall With Stainless Steel Threaded Backpins Set In Continuous Bed Of Silicone Adhesive.
Font: Helvetica  Neue Medium
- 1" High 1/4" Deep Cut Out Aluminum Bar, Paint Finish 
Dark Bronze, Drill And Tap Back Of Letters Secured To Wall With Stainless Steel Threaded Backpins Set In Continuous Bed Of Silicone Adhesive
- Secure To Wall With #10 1/8" Stainless Steel Threaded Rods Embedment Depth 3/4". And Adhesive, Min. (3) Rods (Backpins) Per Letter.
- Continuous Bed Of Silicone Adhesive
- 1/4" Deep Cut Out Aluminum Spacers, Paint Finished To Match Wall Color. 
</t>
    </r>
    <r>
      <rPr>
        <b/>
        <sz val="12"/>
        <rFont val="Calibri"/>
        <family val="2"/>
        <scheme val="minor"/>
      </rPr>
      <t>Lettering: "PRESIDENT'S OFFICE - OFICINA DEL PRESIDENTE"</t>
    </r>
  </si>
  <si>
    <r>
      <rPr>
        <b/>
        <sz val="12"/>
        <rFont val="Calibri"/>
        <family val="2"/>
        <scheme val="minor"/>
      </rPr>
      <t>Counseling Signage</t>
    </r>
    <r>
      <rPr>
        <sz val="12"/>
        <rFont val="Calibri"/>
        <family val="2"/>
        <scheme val="minor"/>
      </rPr>
      <t xml:space="preserve">
- 8" High 1/4" Deep Cut Out Aluminum Letter, Paint Finish Dark Bronze, Drill And Tap Back Of Letters Secured To Wall With Stainless Steel Threaded Backpins Set In Continuous Bed Of Silicone Adhesive.
Font: Helvetica  Neue Medium
- 1" Thk 12" High 1/4" Deep Cut Out Aluminum Bar, Paint Finish 
Dark Bronze, Drill And Tap Back Of Letters Secured To Wall With Stainless Steel Threaded Backpins Set In Continuous Bed Of Silicone Adhesive
- Secure To Wall With #10 1/8" Stainless Steel Threaded Rods Embedment Depth 3/4". And Adhesive, Min. (3) Rods (Backpins) Per Letter.
- Continuous Bed Of Silicone Adhesive
- 1/4" Deep Cut Out Aluminum Spacers, Paint Finished To Match Wall Color. 
</t>
    </r>
    <r>
      <rPr>
        <b/>
        <sz val="12"/>
        <rFont val="Calibri"/>
        <family val="2"/>
        <scheme val="minor"/>
      </rPr>
      <t>Lettering: "COUNSELING I ASESOREMIENTO"</t>
    </r>
  </si>
  <si>
    <r>
      <rPr>
        <b/>
        <sz val="12"/>
        <rFont val="Calibri"/>
        <family val="2"/>
        <scheme val="minor"/>
      </rPr>
      <t>Student Service Signage</t>
    </r>
    <r>
      <rPr>
        <sz val="12"/>
        <rFont val="Calibri"/>
        <family val="2"/>
        <scheme val="minor"/>
      </rPr>
      <t xml:space="preserve">
- 8" High 1/4" Deep Cut Out Aluminum Letter, Paint Finish Dark Bronze, Drill And Tap Back Of Letters Secured To Wall With Stainless Steel Threaded Backpins Set In Continuous Bed Of Silicone Adhesive.
Font: Helvetica  Neue Medium
- 1" Thk 12" High 1/4" Deep Cut Out Aluminum Bar, Paint Finish 
Dark Bronze, Drill And Tap Back Of Letters Secured To Wall With Stainless Steel Threaded Backpins Set In Continuous Bed Of Silicone Adhesive
- Secure To Wall With #10 1/8" Stainless Steel Threaded Rods Embedment Depth 3/4". And Adhesive, Min. (3) Rods (Backpins) Per Letter.
- Continuous Bed Of Silicone Adhesive
- 1/4" Deep Cut Out Aluminum Spacers, Paint Finished To Match Wall Color. 
</t>
    </r>
    <r>
      <rPr>
        <b/>
        <sz val="12"/>
        <rFont val="Calibri"/>
        <family val="2"/>
        <scheme val="minor"/>
      </rPr>
      <t>Lettering: "STUDENT SERVICES I SERVICIOS ESTUDIANTILES"</t>
    </r>
  </si>
  <si>
    <r>
      <rPr>
        <b/>
        <sz val="12"/>
        <rFont val="Calibri"/>
        <family val="2"/>
        <scheme val="minor"/>
      </rPr>
      <t>Casher Signage</t>
    </r>
    <r>
      <rPr>
        <sz val="12"/>
        <rFont val="Calibri"/>
        <family val="2"/>
        <scheme val="minor"/>
      </rPr>
      <t xml:space="preserve">
- 8" High 1/4" Deep Cut Out Aluminum Letter, Paint Finish Dark Bronze, Drill And Tap Back Of Letters Secured To Wall With Stainless Steel Threaded Backpins Set In Continuous Bed Of Silicone Adhesive.
Font: Helvetica  Neue Medium
- 1" High 1/4" Deep Cut Out Aluminum Bar, Paint Finish 
Dark Bronze, Drill And Tap Back Of Letters Secured To Wall With Stainless Steel Threaded Backpins Set In Continuous Bed Of Silicone Adhesive
- Secure To Wall With #10 1/8" Stainless Steel Threaded Rods Embedment Depth 3/4". And Adhesive, Min. (3) Rods (Backpins) Per Letter.
- Continuous Bed Of Silicone Adhesive
- 1/4" Deep Cut Out Aluminum Spacers, Paint Finished To Match Wall Color. 
</t>
    </r>
    <r>
      <rPr>
        <b/>
        <sz val="12"/>
        <rFont val="Calibri"/>
        <family val="2"/>
        <scheme val="minor"/>
      </rPr>
      <t>Lettering: "CASHIER - CAJERO"</t>
    </r>
  </si>
  <si>
    <r>
      <rPr>
        <b/>
        <sz val="12"/>
        <rFont val="Calibri"/>
        <family val="2"/>
        <scheme val="minor"/>
      </rPr>
      <t>Enrollement Services Signage</t>
    </r>
    <r>
      <rPr>
        <sz val="12"/>
        <rFont val="Calibri"/>
        <family val="2"/>
        <scheme val="minor"/>
      </rPr>
      <t xml:space="preserve">
- 8" High 1/4" Deep Cut Out Aluminum Letter, Paint Finish Dark Bronze, Drill And Tap Back Of Letters Secured To Wall With Stainless Steel Threaded Backpins Set In Continuous Bed Of Silicone Adhesive.
Font: Helvetica  Neue Medium
- 1" High 1/4" Deep Cut Out Aluminum Bar, Paint Finish 
Dark Bronze, Drill And Tap Back Of Letters Secured To Wall With Stainless Steel Threaded Backpins Set In Continuous Bed Of Silicone Adhesive
- Secure To Wall With #10 1/8" Stainless Steel Threaded Rods Embedment Depth 3/4". And Adhesive, Min. (3) Rods (Backpins) Per Letter.
- Continuous Bed Of Silicone Adhesive
- 1/4" Deep Cut Out Aluminum Spacers, Paint Finished To Match Wall Color. 
</t>
    </r>
    <r>
      <rPr>
        <b/>
        <sz val="12"/>
        <rFont val="Calibri"/>
        <family val="2"/>
        <scheme val="minor"/>
      </rPr>
      <t>Lettering: "ENROLLMENT SERVICES - SERVICIOS DE INSCRIPCION"</t>
    </r>
  </si>
  <si>
    <r>
      <rPr>
        <b/>
        <sz val="12"/>
        <rFont val="Calibri"/>
        <family val="2"/>
        <scheme val="minor"/>
      </rPr>
      <t>Board Room Signage</t>
    </r>
    <r>
      <rPr>
        <sz val="12"/>
        <rFont val="Calibri"/>
        <family val="2"/>
        <scheme val="minor"/>
      </rPr>
      <t xml:space="preserve">
- 8" High 1/4" Deep Cut Out Aluminum Letter, Paint Finish Dark Bronze, Drill And Tap Back Of Letters Secured To Wall With Stainless Steel Threaded Backpins Set In Continuous Bed Of Silicone Adhesive.
Font: Helvetica  Neue Medium
- 1" High 1/4" Deep Cut Out Aluminum Bar, Paint Finish 
Dark Bronze, Drill And Tap Back Of Letters Secured To Wall With Stainless Steel Threaded Backpins Set In Continuous Bed Of Silicone Adhesive
- Secure To Wall With #10 1/8" Stainless Steel Threaded Rods Embedment Depth 3/4". And Adhesive, Min. (3) Rods (Backpins) Per Letter.
- Continuous Bed Of Silicone Adhesive
- 1/4" Deep Cut Out Aluminum Spacers, Paint Finished To Match Wall Color. 
</t>
    </r>
    <r>
      <rPr>
        <b/>
        <sz val="12"/>
        <rFont val="Calibri"/>
        <family val="2"/>
        <scheme val="minor"/>
      </rPr>
      <t>Lettering: "BOARD ROOM - J. VARD LOOMIS"</t>
    </r>
  </si>
  <si>
    <r>
      <rPr>
        <b/>
        <sz val="12"/>
        <rFont val="Calibri"/>
        <family val="2"/>
        <scheme val="minor"/>
      </rPr>
      <t>Fiscal Service Signage</t>
    </r>
    <r>
      <rPr>
        <sz val="12"/>
        <rFont val="Calibri"/>
        <family val="2"/>
        <scheme val="minor"/>
      </rPr>
      <t xml:space="preserve">
- 3" High 1/4" Deep Cut Out Aluminum Letter, Paint Finish Dark Bronze, Drill And Tap Back Of Letters Secured To Wall With Stainless Steel Threaded Backpins Set In Continuous Bed Of Silicone Adhesive.
Font: Helvetica  Neue Medium
- 1" High 1/4" Deep Cut Out Aluminum Bar, Paint Finish 
Dark Bronze, Drill And Tap Back Of Letters Secured To Wall With Stainless Steel Threaded Backpins Set In Continuous Bed Of Silicone Adhesive
- Secure To Wall With #10 1/8" Stainless Steel Threaded Rods Embedment Depth 3/4". And Adhesive, Min. (3) Rods (Backpins) Per Letter.
- Continuous Bed Of Silicone Adhesive
- 1/4" Deep Cut Out Aluminum Spacers, Paint Finished To Match Wall Color. 
</t>
    </r>
    <r>
      <rPr>
        <b/>
        <sz val="12"/>
        <rFont val="Calibri"/>
        <family val="2"/>
        <scheme val="minor"/>
      </rPr>
      <t>Lettering: "FASCAL SERVICES - SERVICIOS FISCALES"</t>
    </r>
  </si>
  <si>
    <r>
      <rPr>
        <b/>
        <sz val="12"/>
        <rFont val="Calibri"/>
        <family val="2"/>
        <scheme val="minor"/>
      </rPr>
      <t>Foundation Signage</t>
    </r>
    <r>
      <rPr>
        <sz val="12"/>
        <rFont val="Calibri"/>
        <family val="2"/>
        <scheme val="minor"/>
      </rPr>
      <t xml:space="preserve">
- 3" High 1/4" Deep Cut Out Aluminum Letter, Paint Finish Dark Bronze, Drill And Tap Back Of Letters Secured To Wall With Stainless Steel Threaded Backpins Set In Continuous Bed Of Silicone Adhesive.
Font: Helvetica  Neue Medium
- 1" High 1/4" Deep Cut Out Aluminum Bar, Paint Finish 
Dark Bronze, Drill And Tap Back Of Letters Secured To Wall With Stainless Steel Threaded Backpins Set In Continuous Bed Of Silicone Adhesive
- Secure To Wall With #10 1/8" Stainless Steel Threaded Rods Embedment Depth 3/4". And Adhesive, Min. (3) Rods (Backpins) Per Letter.
- Continuous Bed Of Silicone Adhesive
- 1/4" Deep Cut Out Aluminum Spacers, Paint Finished To Match Wall Color. 
</t>
    </r>
    <r>
      <rPr>
        <b/>
        <sz val="12"/>
        <rFont val="Calibri"/>
        <family val="2"/>
        <scheme val="minor"/>
      </rPr>
      <t>Lettering: "FOUNDATION - FUNDACION"</t>
    </r>
  </si>
  <si>
    <t>A-101</t>
  </si>
  <si>
    <t>1/A-976</t>
  </si>
  <si>
    <r>
      <rPr>
        <b/>
        <sz val="12"/>
        <rFont val="Calibri"/>
        <family val="2"/>
        <scheme val="minor"/>
      </rPr>
      <t>10.14C Vehicular Directional Sign</t>
    </r>
    <r>
      <rPr>
        <sz val="12"/>
        <rFont val="Calibri"/>
        <family val="2"/>
        <scheme val="minor"/>
      </rPr>
      <t xml:space="preserve">
</t>
    </r>
    <r>
      <rPr>
        <b/>
        <sz val="12"/>
        <rFont val="Calibri"/>
        <family val="2"/>
        <scheme val="minor"/>
      </rPr>
      <t>Sign Cabinet:</t>
    </r>
    <r>
      <rPr>
        <sz val="12"/>
        <rFont val="Calibri"/>
        <family val="2"/>
        <scheme val="minor"/>
      </rPr>
      <t xml:space="preserve"> Fabricated ¼” Thick Aluminum Sign Cabinet With An Internal Welded Aluminum Angle Structure. Seamless Inappearance. Paint Finish. 
</t>
    </r>
    <r>
      <rPr>
        <b/>
        <sz val="12"/>
        <rFont val="Calibri"/>
        <family val="2"/>
        <scheme val="minor"/>
      </rPr>
      <t>Circle:</t>
    </r>
    <r>
      <rPr>
        <sz val="12"/>
        <rFont val="Calibri"/>
        <family val="2"/>
        <scheme val="minor"/>
      </rPr>
      <t xml:space="preserve"> 1/4” Aluminum Paint Finished All Siges. Secure To Sign Cabinet With Stainless Steel Threaded Backpins (Drill And Tap) And Nuts. Circle Graphics: 4 Color Digital Print With Translucent Inks, Over Reflective White Vinyl. 
</t>
    </r>
    <r>
      <rPr>
        <b/>
        <sz val="12"/>
        <rFont val="Calibri"/>
        <family val="2"/>
        <scheme val="minor"/>
      </rPr>
      <t>Letters, Arrows, And Rules:</t>
    </r>
    <r>
      <rPr>
        <sz val="12"/>
        <rFont val="Calibri"/>
        <family val="2"/>
        <scheme val="minor"/>
      </rPr>
      <t xml:space="preserve"> Applied 3M Reflective Vinyl Over Sign Cabinet Face. Note: Message Shown On Drawing Is Typical.
</t>
    </r>
    <r>
      <rPr>
        <b/>
        <sz val="12"/>
        <rFont val="Calibri"/>
        <family val="2"/>
        <scheme val="minor"/>
      </rPr>
      <t>Vertical Support Structure:</t>
    </r>
    <r>
      <rPr>
        <sz val="12"/>
        <rFont val="Calibri"/>
        <family val="2"/>
        <scheme val="minor"/>
      </rPr>
      <t xml:space="preserve">  </t>
    </r>
    <r>
      <rPr>
        <b/>
        <sz val="12"/>
        <rFont val="Calibri"/>
        <family val="2"/>
        <scheme val="minor"/>
      </rPr>
      <t xml:space="preserve">3” x 2” Steel Posts (4'-10"H) </t>
    </r>
    <r>
      <rPr>
        <sz val="12"/>
        <rFont val="Calibri"/>
        <family val="2"/>
        <scheme val="minor"/>
      </rPr>
      <t xml:space="preserve">Embedded In Concrete Footing. Sign Cabinet Aluminum Frame Secured To Steel Posts With Stainless Steel Bolts And Nuts.
</t>
    </r>
    <r>
      <rPr>
        <b/>
        <sz val="12"/>
        <rFont val="Calibri"/>
        <family val="2"/>
        <scheme val="minor"/>
      </rPr>
      <t>Reveal:</t>
    </r>
    <r>
      <rPr>
        <sz val="12"/>
        <rFont val="Calibri"/>
        <family val="2"/>
        <scheme val="minor"/>
      </rPr>
      <t xml:space="preserve"> 1/2" X 1/2" Deep Reaveal. Paint Finish
</t>
    </r>
    <r>
      <rPr>
        <b/>
        <sz val="12"/>
        <rFont val="Calibri"/>
        <family val="2"/>
        <scheme val="minor"/>
      </rPr>
      <t/>
    </r>
  </si>
  <si>
    <t>2/A-975</t>
  </si>
  <si>
    <r>
      <rPr>
        <b/>
        <sz val="12"/>
        <rFont val="Calibri"/>
        <family val="2"/>
        <scheme val="minor"/>
      </rPr>
      <t>10.14D Street Name Sign</t>
    </r>
    <r>
      <rPr>
        <sz val="12"/>
        <rFont val="Calibri"/>
        <family val="2"/>
        <scheme val="minor"/>
      </rPr>
      <t xml:space="preserve">
</t>
    </r>
    <r>
      <rPr>
        <b/>
        <sz val="12"/>
        <rFont val="Calibri"/>
        <family val="2"/>
        <scheme val="minor"/>
      </rPr>
      <t>Sign Blade:</t>
    </r>
    <r>
      <rPr>
        <sz val="12"/>
        <rFont val="Calibri"/>
        <family val="2"/>
        <scheme val="minor"/>
      </rPr>
      <t xml:space="preserve"> 1/4" Thick Aluminum Panel Welded To A 1/4” Thick Aluminum Mounting Flange. Paint Finsihed. Flange Attached To Post With Stainless Steel Screws. 
- </t>
    </r>
    <r>
      <rPr>
        <b/>
        <sz val="12"/>
        <rFont val="Calibri"/>
        <family val="2"/>
        <scheme val="minor"/>
      </rPr>
      <t xml:space="preserve">3" x 3" Square Steel Post (8'-5"H) </t>
    </r>
    <r>
      <rPr>
        <sz val="12"/>
        <rFont val="Calibri"/>
        <family val="2"/>
        <scheme val="minor"/>
      </rPr>
      <t>With a Flat Cap Welded at Top. Paint Finish Over 2-1/2" x 2-1/2" Steel Arm Embedded in Concrete Footing
- 1/4" Thk Aluminum Panel
- Flat Head Counter Sunk Stainless Steel Screws. Painte Finish Head To Match Sign Blade Color</t>
    </r>
  </si>
  <si>
    <t>1/A-975</t>
  </si>
  <si>
    <r>
      <rPr>
        <b/>
        <sz val="12"/>
        <rFont val="Calibri"/>
        <family val="2"/>
        <scheme val="minor"/>
      </rPr>
      <t>10.14E Pedestrain Directional/Directory Sign
Sign Cabinet:</t>
    </r>
    <r>
      <rPr>
        <sz val="12"/>
        <rFont val="Calibri"/>
        <family val="2"/>
        <scheme val="minor"/>
      </rPr>
      <t xml:space="preserve"> Fabricated from 1/8" Thk. Aluminum, Welded Concstraction, Seamless in Apperance Paint Finished Internal Aluminum Angle Structure.
</t>
    </r>
    <r>
      <rPr>
        <b/>
        <sz val="12"/>
        <rFont val="Calibri"/>
        <family val="2"/>
        <scheme val="minor"/>
      </rPr>
      <t>College Logo And "Directory" Text:</t>
    </r>
    <r>
      <rPr>
        <sz val="12"/>
        <rFont val="Calibri"/>
        <family val="2"/>
        <scheme val="minor"/>
      </rPr>
      <t xml:space="preserve"> Individually Cut White Vinyl Lettering Applied To Sign Cabinet Face, With Clear Coat.
</t>
    </r>
    <r>
      <rPr>
        <b/>
        <sz val="12"/>
        <rFont val="Calibri"/>
        <family val="2"/>
        <scheme val="minor"/>
      </rPr>
      <t>Map Cabinet:</t>
    </r>
    <r>
      <rPr>
        <sz val="12"/>
        <rFont val="Calibri"/>
        <family val="2"/>
        <scheme val="minor"/>
      </rPr>
      <t xml:space="preserve"> Aluminum Frame With Locking Door.
Clear Tempered Glass Window.
</t>
    </r>
    <r>
      <rPr>
        <b/>
        <sz val="12"/>
        <rFont val="Calibri"/>
        <family val="2"/>
        <scheme val="minor"/>
      </rPr>
      <t>Size:</t>
    </r>
    <r>
      <rPr>
        <sz val="12"/>
        <rFont val="Calibri"/>
        <family val="2"/>
        <scheme val="minor"/>
      </rPr>
      <t xml:space="preserve"> 2'-2"Wide x 6-1/2"Deep x 6'-9 1/2"High</t>
    </r>
  </si>
  <si>
    <t>2/A-976</t>
  </si>
  <si>
    <r>
      <rPr>
        <b/>
        <sz val="12"/>
        <rFont val="Calibri"/>
        <family val="2"/>
        <scheme val="minor"/>
      </rPr>
      <t>10.14K Campus Directory/Info Kiosk Sign
Directory Sign Cabinet:</t>
    </r>
    <r>
      <rPr>
        <sz val="12"/>
        <rFont val="Calibri"/>
        <family val="2"/>
        <scheme val="minor"/>
      </rPr>
      <t xml:space="preserve"> Interior Illuminated Sign 
Cabinet. Fabricated 1/8" Thick Aluminum Sign Cabinet, Seamless Welded Aluminum Angle Internal Structure.  Cabinet Has A Front Opening Display Case That Houses A Site Plan. Paint Finish.
</t>
    </r>
    <r>
      <rPr>
        <b/>
        <sz val="12"/>
        <rFont val="Calibri"/>
        <family val="2"/>
        <scheme val="minor"/>
      </rPr>
      <t>Campus Logo And “Directory” Letters:</t>
    </r>
    <r>
      <rPr>
        <sz val="12"/>
        <rFont val="Calibri"/>
        <family val="2"/>
        <scheme val="minor"/>
      </rPr>
      <t xml:space="preserve"> Applied Opaque Vinyl Over Cabinet
</t>
    </r>
    <r>
      <rPr>
        <b/>
        <sz val="12"/>
        <rFont val="Calibri"/>
        <family val="2"/>
        <scheme val="minor"/>
      </rPr>
      <t>Door Frame:</t>
    </r>
    <r>
      <rPr>
        <sz val="12"/>
        <rFont val="Calibri"/>
        <family val="2"/>
        <scheme val="minor"/>
      </rPr>
      <t xml:space="preserve"> Extruded Aluminum Door Frame With 
Lock, Tempered Glass, And Concealed Hinge. Cabinet 
Edges Should Be Square, Not Rounded. Interior And Exterior Of Door Paint Finishe. Teems Inc. Ultra Directory Low Profile Or Equal.
</t>
    </r>
    <r>
      <rPr>
        <b/>
        <sz val="12"/>
        <rFont val="Calibri"/>
        <family val="2"/>
        <scheme val="minor"/>
      </rPr>
      <t>Vertical Support Structure:</t>
    </r>
    <r>
      <rPr>
        <sz val="12"/>
        <rFont val="Calibri"/>
        <family val="2"/>
        <scheme val="minor"/>
      </rPr>
      <t xml:space="preserve"> </t>
    </r>
    <r>
      <rPr>
        <b/>
        <sz val="12"/>
        <rFont val="Calibri"/>
        <family val="2"/>
        <scheme val="minor"/>
      </rPr>
      <t>(2) 3” x 2”Steel Post (7'-6 1/2" High)</t>
    </r>
    <r>
      <rPr>
        <sz val="12"/>
        <rFont val="Calibri"/>
        <family val="2"/>
        <scheme val="minor"/>
      </rPr>
      <t xml:space="preserve"> Secure To Concrete Footing With Stainless Streel “J” Bolts Embedded In Concrete Footing.
</t>
    </r>
    <r>
      <rPr>
        <b/>
        <sz val="12"/>
        <rFont val="Calibri"/>
        <family val="2"/>
        <scheme val="minor"/>
      </rPr>
      <t>Reveal:</t>
    </r>
    <r>
      <rPr>
        <sz val="12"/>
        <rFont val="Calibri"/>
        <family val="2"/>
        <scheme val="minor"/>
      </rPr>
      <t xml:space="preserve"> 1/2" X 1/2" Deep Reaveal. Paint Finish</t>
    </r>
  </si>
  <si>
    <t>3/A-975</t>
  </si>
  <si>
    <r>
      <rPr>
        <b/>
        <sz val="12"/>
        <rFont val="Calibri"/>
        <family val="2"/>
        <scheme val="minor"/>
      </rPr>
      <t xml:space="preserve">10.14L Parking Permit Sign
Sign Cabinet: </t>
    </r>
    <r>
      <rPr>
        <sz val="12"/>
        <rFont val="Calibri"/>
        <family val="2"/>
        <scheme val="minor"/>
      </rPr>
      <t xml:space="preserve">Fabricated 1/8" Thick Welded Aluminum Cabinet, Seamless Appearance. Cabinet Will Have A Tube (Arm) Welded Inside Cabinet Secures To Post With Set Screws.
</t>
    </r>
    <r>
      <rPr>
        <b/>
        <sz val="12"/>
        <rFont val="Calibri"/>
        <family val="2"/>
        <scheme val="minor"/>
      </rPr>
      <t xml:space="preserve">Arm: </t>
    </r>
    <r>
      <rPr>
        <sz val="12"/>
        <rFont val="Calibri"/>
        <family val="2"/>
        <scheme val="minor"/>
      </rPr>
      <t xml:space="preserve">@ Back Side Square Tube Of Smaller Section Than Sign Post Extends Through Sign Cabinet Into Sign Post (Sleeve).Section Of Tube Inside Sign Cabinet (Arm), To Be Welded In Place
Applied 3M Reflective Vinyl Over Paint Finsihed Sign Cabinet. Logo Not Reflective
- </t>
    </r>
    <r>
      <rPr>
        <b/>
        <sz val="12"/>
        <rFont val="Calibri"/>
        <family val="2"/>
        <scheme val="minor"/>
      </rPr>
      <t xml:space="preserve">3" x 3" Square Steel Post (11'-0"H) </t>
    </r>
    <r>
      <rPr>
        <sz val="12"/>
        <rFont val="Calibri"/>
        <family val="2"/>
        <scheme val="minor"/>
      </rPr>
      <t>With a Flat Cap Welded at Top. Paint Finish Over 2-1/2" x 2-1/2" Steel Arm Embedded in Concrete Footing
- Stainless Steel Countersunk Set Screw
- Parking Ticket Kiosk</t>
    </r>
  </si>
  <si>
    <t>SITE SIGNAGES W/ POSTS</t>
  </si>
  <si>
    <t>DECORATIVE METAL REVEAL</t>
  </si>
  <si>
    <t>ALUMINIUM COLUMN COVER</t>
  </si>
  <si>
    <t>Structural Steel Sub Total</t>
  </si>
  <si>
    <t>Metal Fabrications Sub Total</t>
  </si>
  <si>
    <t xml:space="preserve">Metal Fabrications </t>
  </si>
  <si>
    <t>A105</t>
  </si>
  <si>
    <t>5/A953</t>
  </si>
  <si>
    <r>
      <rPr>
        <b/>
        <sz val="12"/>
        <rFont val="Calibri"/>
        <family val="2"/>
        <scheme val="minor"/>
      </rPr>
      <t>05.58A - Aluminum Column Cover (Exterior)</t>
    </r>
    <r>
      <rPr>
        <sz val="12"/>
        <rFont val="Calibri"/>
        <family val="2"/>
        <scheme val="minor"/>
      </rPr>
      <t xml:space="preserve">
- 1/8" Thk. Prefinished Aluminum Column Cladding
- Z-Furring Channels Attached To ColumnW/ #10SMS Fasteners
- Backer Rod &amp; Sealant
- Shim</t>
    </r>
  </si>
  <si>
    <r>
      <rPr>
        <b/>
        <sz val="12"/>
        <rFont val="Calibri"/>
        <family val="2"/>
        <scheme val="minor"/>
      </rPr>
      <t>05.58A - Aluminum Column Cover (Interior)</t>
    </r>
    <r>
      <rPr>
        <sz val="12"/>
        <rFont val="Calibri"/>
        <family val="2"/>
        <scheme val="minor"/>
      </rPr>
      <t xml:space="preserve">
- 1/8" Thk. Prefinished Aluminum Column Cladding
- Z-Furring Channels Attached To ColumnW/ 1/4" Self Drilling Screws @ 12"O.C.
-5/8" Channel In Sealant
- Shim</t>
    </r>
  </si>
  <si>
    <t>A201A</t>
  </si>
  <si>
    <t>A650</t>
  </si>
  <si>
    <t>RAMP RAILINGS</t>
  </si>
  <si>
    <t>3/A124</t>
  </si>
  <si>
    <t>A103</t>
  </si>
  <si>
    <r>
      <rPr>
        <b/>
        <sz val="12"/>
        <rFont val="Calibri"/>
        <family val="2"/>
        <scheme val="minor"/>
      </rPr>
      <t>05.09A 36" High Ramp Railing As;</t>
    </r>
    <r>
      <rPr>
        <sz val="12"/>
        <rFont val="Calibri"/>
        <family val="2"/>
        <scheme val="minor"/>
      </rPr>
      <t xml:space="preserve">
- 1"x2" Flat Bar Brushed SS Handrail
- 2" SS Post Cap 
- 1-1/2" O.D. Tubing Post Galvanized &amp; Painted</t>
    </r>
  </si>
  <si>
    <t>-</t>
  </si>
  <si>
    <r>
      <rPr>
        <b/>
        <sz val="12"/>
        <rFont val="Calibri"/>
        <family val="2"/>
        <scheme val="minor"/>
      </rPr>
      <t xml:space="preserve">Column C1
Section: </t>
    </r>
    <r>
      <rPr>
        <sz val="12"/>
        <rFont val="Calibri"/>
        <family val="2"/>
        <scheme val="minor"/>
      </rPr>
      <t xml:space="preserve">HSS 6X6X3/8
</t>
    </r>
    <r>
      <rPr>
        <b/>
        <sz val="12"/>
        <rFont val="Calibri"/>
        <family val="2"/>
        <scheme val="minor"/>
      </rPr>
      <t>Counts:</t>
    </r>
    <r>
      <rPr>
        <sz val="12"/>
        <rFont val="Calibri"/>
        <family val="2"/>
        <scheme val="minor"/>
      </rPr>
      <t xml:space="preserve"> 09 EA</t>
    </r>
  </si>
  <si>
    <t>COLUMNS</t>
  </si>
  <si>
    <r>
      <rPr>
        <b/>
        <sz val="12"/>
        <rFont val="Calibri"/>
        <family val="2"/>
        <scheme val="minor"/>
      </rPr>
      <t xml:space="preserve">Column C2
Section: </t>
    </r>
    <r>
      <rPr>
        <sz val="12"/>
        <rFont val="Calibri"/>
        <family val="2"/>
        <scheme val="minor"/>
      </rPr>
      <t xml:space="preserve">HSS 8X6X5/8
</t>
    </r>
    <r>
      <rPr>
        <b/>
        <sz val="12"/>
        <rFont val="Calibri"/>
        <family val="2"/>
        <scheme val="minor"/>
      </rPr>
      <t>Counts:</t>
    </r>
    <r>
      <rPr>
        <sz val="12"/>
        <rFont val="Calibri"/>
        <family val="2"/>
        <scheme val="minor"/>
      </rPr>
      <t xml:space="preserve"> 11 EA</t>
    </r>
  </si>
  <si>
    <r>
      <rPr>
        <b/>
        <sz val="12"/>
        <rFont val="Calibri"/>
        <family val="2"/>
        <scheme val="minor"/>
      </rPr>
      <t xml:space="preserve">Column C4 
Section: </t>
    </r>
    <r>
      <rPr>
        <sz val="12"/>
        <rFont val="Calibri"/>
        <family val="2"/>
        <scheme val="minor"/>
      </rPr>
      <t xml:space="preserve">HSS 12X12X1/2
</t>
    </r>
    <r>
      <rPr>
        <b/>
        <sz val="12"/>
        <rFont val="Calibri"/>
        <family val="2"/>
        <scheme val="minor"/>
      </rPr>
      <t xml:space="preserve">Counts: </t>
    </r>
    <r>
      <rPr>
        <sz val="12"/>
        <rFont val="Calibri"/>
        <family val="2"/>
        <scheme val="minor"/>
      </rPr>
      <t>03 EA</t>
    </r>
  </si>
  <si>
    <r>
      <rPr>
        <b/>
        <sz val="12"/>
        <rFont val="Calibri"/>
        <family val="2"/>
        <scheme val="minor"/>
      </rPr>
      <t xml:space="preserve">Column C3 
Section: </t>
    </r>
    <r>
      <rPr>
        <sz val="12"/>
        <rFont val="Calibri"/>
        <family val="2"/>
        <scheme val="minor"/>
      </rPr>
      <t xml:space="preserve">HSS 8X8X3/8
</t>
    </r>
    <r>
      <rPr>
        <b/>
        <sz val="12"/>
        <rFont val="Calibri"/>
        <family val="2"/>
        <scheme val="minor"/>
      </rPr>
      <t xml:space="preserve">Counts: </t>
    </r>
    <r>
      <rPr>
        <sz val="12"/>
        <rFont val="Calibri"/>
        <family val="2"/>
        <scheme val="minor"/>
      </rPr>
      <t>10 EA</t>
    </r>
  </si>
  <si>
    <r>
      <rPr>
        <b/>
        <sz val="12"/>
        <rFont val="Calibri"/>
        <family val="2"/>
        <scheme val="minor"/>
      </rPr>
      <t xml:space="preserve">Column C5
Section: </t>
    </r>
    <r>
      <rPr>
        <sz val="12"/>
        <rFont val="Calibri"/>
        <family val="2"/>
        <scheme val="minor"/>
      </rPr>
      <t xml:space="preserve">W-12X72
</t>
    </r>
    <r>
      <rPr>
        <b/>
        <sz val="12"/>
        <rFont val="Calibri"/>
        <family val="2"/>
        <scheme val="minor"/>
      </rPr>
      <t xml:space="preserve">Counts: </t>
    </r>
    <r>
      <rPr>
        <sz val="12"/>
        <rFont val="Calibri"/>
        <family val="2"/>
        <scheme val="minor"/>
      </rPr>
      <t xml:space="preserve"> 02 EA</t>
    </r>
  </si>
  <si>
    <t>MISC. STEEL</t>
  </si>
  <si>
    <t>MISC. METALS</t>
  </si>
  <si>
    <t>GENERAL REQUIREMENTS</t>
  </si>
  <si>
    <t>TOTAL GENERAL REQUIREMENTS</t>
  </si>
  <si>
    <t xml:space="preserve">TOTAL STEEL </t>
  </si>
  <si>
    <t>STEEL</t>
  </si>
  <si>
    <t>TOTAL BID</t>
  </si>
  <si>
    <r>
      <rPr>
        <b/>
        <sz val="12"/>
        <rFont val="Calibri"/>
        <family val="2"/>
        <scheme val="minor"/>
      </rPr>
      <t xml:space="preserve">Misc. Columns 
Section: </t>
    </r>
    <r>
      <rPr>
        <sz val="12"/>
        <rFont val="Calibri"/>
        <family val="2"/>
        <scheme val="minor"/>
      </rPr>
      <t>HSS 12X4X1/4</t>
    </r>
    <r>
      <rPr>
        <b/>
        <sz val="12"/>
        <rFont val="Calibri"/>
        <family val="2"/>
        <scheme val="minor"/>
      </rPr>
      <t xml:space="preserve">
Counts: </t>
    </r>
    <r>
      <rPr>
        <sz val="12"/>
        <rFont val="Calibri"/>
        <family val="2"/>
        <scheme val="minor"/>
      </rPr>
      <t xml:space="preserve"> 01 EA</t>
    </r>
  </si>
  <si>
    <r>
      <rPr>
        <b/>
        <sz val="12"/>
        <rFont val="Calibri"/>
        <family val="2"/>
        <scheme val="minor"/>
      </rPr>
      <t xml:space="preserve">Misc. Columns 
Section: </t>
    </r>
    <r>
      <rPr>
        <sz val="12"/>
        <rFont val="Calibri"/>
        <family val="2"/>
        <scheme val="minor"/>
      </rPr>
      <t>HSS 20X4X1/4</t>
    </r>
    <r>
      <rPr>
        <b/>
        <sz val="12"/>
        <rFont val="Calibri"/>
        <family val="2"/>
        <scheme val="minor"/>
      </rPr>
      <t xml:space="preserve">
Counts:  </t>
    </r>
    <r>
      <rPr>
        <sz val="12"/>
        <rFont val="Calibri"/>
        <family val="2"/>
        <scheme val="minor"/>
      </rPr>
      <t>02 EA</t>
    </r>
  </si>
  <si>
    <r>
      <rPr>
        <b/>
        <sz val="12"/>
        <rFont val="Calibri"/>
        <family val="2"/>
        <scheme val="minor"/>
      </rPr>
      <t xml:space="preserve">Misc. Columns 
Section: </t>
    </r>
    <r>
      <rPr>
        <sz val="12"/>
        <rFont val="Calibri"/>
        <family val="2"/>
        <scheme val="minor"/>
      </rPr>
      <t>HSS 4X4X1/4</t>
    </r>
    <r>
      <rPr>
        <b/>
        <sz val="12"/>
        <rFont val="Calibri"/>
        <family val="2"/>
        <scheme val="minor"/>
      </rPr>
      <t xml:space="preserve">
Counts:  </t>
    </r>
    <r>
      <rPr>
        <sz val="12"/>
        <rFont val="Calibri"/>
        <family val="2"/>
        <scheme val="minor"/>
      </rPr>
      <t>02 EA</t>
    </r>
  </si>
  <si>
    <r>
      <rPr>
        <b/>
        <sz val="12"/>
        <rFont val="Calibri"/>
        <family val="2"/>
        <scheme val="minor"/>
      </rPr>
      <t xml:space="preserve">Misc. Columns 
Section: </t>
    </r>
    <r>
      <rPr>
        <sz val="12"/>
        <rFont val="Calibri"/>
        <family val="2"/>
        <scheme val="minor"/>
      </rPr>
      <t>HSS 8X8X3/8</t>
    </r>
    <r>
      <rPr>
        <b/>
        <sz val="12"/>
        <rFont val="Calibri"/>
        <family val="2"/>
        <scheme val="minor"/>
      </rPr>
      <t xml:space="preserve">
Counts:  </t>
    </r>
    <r>
      <rPr>
        <sz val="12"/>
        <rFont val="Calibri"/>
        <family val="2"/>
        <scheme val="minor"/>
      </rPr>
      <t>02 EA</t>
    </r>
  </si>
  <si>
    <r>
      <rPr>
        <b/>
        <sz val="12"/>
        <rFont val="Calibri"/>
        <family val="2"/>
        <scheme val="minor"/>
      </rPr>
      <t xml:space="preserve">Column C1 
Section: </t>
    </r>
    <r>
      <rPr>
        <sz val="12"/>
        <rFont val="Calibri"/>
        <family val="2"/>
        <scheme val="minor"/>
      </rPr>
      <t xml:space="preserve">HSS 6X6X3/8
</t>
    </r>
    <r>
      <rPr>
        <b/>
        <sz val="12"/>
        <rFont val="Calibri"/>
        <family val="2"/>
        <scheme val="minor"/>
      </rPr>
      <t>Counts:</t>
    </r>
    <r>
      <rPr>
        <sz val="12"/>
        <rFont val="Calibri"/>
        <family val="2"/>
        <scheme val="minor"/>
      </rPr>
      <t xml:space="preserve"> 03 EA</t>
    </r>
  </si>
  <si>
    <r>
      <rPr>
        <b/>
        <sz val="12"/>
        <rFont val="Calibri"/>
        <family val="2"/>
        <scheme val="minor"/>
      </rPr>
      <t xml:space="preserve">Column C2
Section: </t>
    </r>
    <r>
      <rPr>
        <sz val="12"/>
        <rFont val="Calibri"/>
        <family val="2"/>
        <scheme val="minor"/>
      </rPr>
      <t xml:space="preserve">HSS 8X6X5/8
</t>
    </r>
    <r>
      <rPr>
        <b/>
        <sz val="12"/>
        <rFont val="Calibri"/>
        <family val="2"/>
        <scheme val="minor"/>
      </rPr>
      <t xml:space="preserve">Counts: </t>
    </r>
    <r>
      <rPr>
        <sz val="12"/>
        <rFont val="Calibri"/>
        <family val="2"/>
        <scheme val="minor"/>
      </rPr>
      <t>11 EA</t>
    </r>
  </si>
  <si>
    <r>
      <rPr>
        <b/>
        <sz val="12"/>
        <rFont val="Calibri"/>
        <family val="2"/>
        <scheme val="minor"/>
      </rPr>
      <t xml:space="preserve">Column C3 
Section: </t>
    </r>
    <r>
      <rPr>
        <sz val="12"/>
        <rFont val="Calibri"/>
        <family val="2"/>
        <scheme val="minor"/>
      </rPr>
      <t xml:space="preserve">HSS 8X8X3/8
</t>
    </r>
    <r>
      <rPr>
        <b/>
        <sz val="12"/>
        <rFont val="Calibri"/>
        <family val="2"/>
        <scheme val="minor"/>
      </rPr>
      <t>Counts:</t>
    </r>
    <r>
      <rPr>
        <sz val="12"/>
        <rFont val="Calibri"/>
        <family val="2"/>
        <scheme val="minor"/>
      </rPr>
      <t xml:space="preserve"> 08 EA</t>
    </r>
  </si>
  <si>
    <r>
      <rPr>
        <b/>
        <sz val="12"/>
        <rFont val="Calibri"/>
        <family val="2"/>
        <scheme val="minor"/>
      </rPr>
      <t xml:space="preserve">Column C5 (02 EA.)
Section: </t>
    </r>
    <r>
      <rPr>
        <sz val="12"/>
        <rFont val="Calibri"/>
        <family val="2"/>
        <scheme val="minor"/>
      </rPr>
      <t xml:space="preserve">W-12X72
</t>
    </r>
    <r>
      <rPr>
        <b/>
        <sz val="12"/>
        <rFont val="Calibri"/>
        <family val="2"/>
        <scheme val="minor"/>
      </rPr>
      <t xml:space="preserve">Counts: </t>
    </r>
    <r>
      <rPr>
        <sz val="12"/>
        <rFont val="Calibri"/>
        <family val="2"/>
        <scheme val="minor"/>
      </rPr>
      <t>02 EA</t>
    </r>
  </si>
  <si>
    <r>
      <rPr>
        <b/>
        <sz val="12"/>
        <rFont val="Calibri"/>
        <family val="2"/>
        <scheme val="minor"/>
      </rPr>
      <t>Roof Posts RP</t>
    </r>
    <r>
      <rPr>
        <sz val="12"/>
        <rFont val="Calibri"/>
        <family val="2"/>
        <scheme val="minor"/>
      </rPr>
      <t xml:space="preserve">
</t>
    </r>
    <r>
      <rPr>
        <b/>
        <sz val="12"/>
        <rFont val="Calibri"/>
        <family val="2"/>
        <scheme val="minor"/>
      </rPr>
      <t xml:space="preserve">Section: </t>
    </r>
    <r>
      <rPr>
        <sz val="12"/>
        <rFont val="Calibri"/>
        <family val="2"/>
        <scheme val="minor"/>
      </rPr>
      <t xml:space="preserve">HSS6X6X3/8
</t>
    </r>
    <r>
      <rPr>
        <b/>
        <sz val="12"/>
        <rFont val="Calibri"/>
        <family val="2"/>
        <scheme val="minor"/>
      </rPr>
      <t xml:space="preserve">Counts: </t>
    </r>
    <r>
      <rPr>
        <sz val="12"/>
        <rFont val="Calibri"/>
        <family val="2"/>
        <scheme val="minor"/>
      </rPr>
      <t xml:space="preserve"> 23 EA</t>
    </r>
  </si>
  <si>
    <r>
      <t xml:space="preserve">Columns
Section: </t>
    </r>
    <r>
      <rPr>
        <sz val="12"/>
        <rFont val="Calibri"/>
        <family val="2"/>
        <scheme val="minor"/>
      </rPr>
      <t xml:space="preserve">W-21X122
</t>
    </r>
    <r>
      <rPr>
        <b/>
        <sz val="12"/>
        <rFont val="Calibri"/>
        <family val="2"/>
        <scheme val="minor"/>
      </rPr>
      <t xml:space="preserve">Counts: </t>
    </r>
    <r>
      <rPr>
        <sz val="12"/>
        <rFont val="Calibri"/>
        <family val="2"/>
        <scheme val="minor"/>
      </rPr>
      <t>04 EA</t>
    </r>
  </si>
  <si>
    <r>
      <t xml:space="preserve">Columns
Section: </t>
    </r>
    <r>
      <rPr>
        <sz val="12"/>
        <rFont val="Calibri"/>
        <family val="2"/>
        <scheme val="minor"/>
      </rPr>
      <t>W-21X111</t>
    </r>
    <r>
      <rPr>
        <b/>
        <sz val="12"/>
        <rFont val="Calibri"/>
        <family val="2"/>
        <scheme val="minor"/>
      </rPr>
      <t xml:space="preserve">
Counts:</t>
    </r>
    <r>
      <rPr>
        <sz val="12"/>
        <rFont val="Calibri"/>
        <family val="2"/>
        <scheme val="minor"/>
      </rPr>
      <t xml:space="preserve"> 07 EA</t>
    </r>
  </si>
  <si>
    <r>
      <t xml:space="preserve">Columns
Section: </t>
    </r>
    <r>
      <rPr>
        <sz val="12"/>
        <rFont val="Calibri"/>
        <family val="2"/>
        <scheme val="minor"/>
      </rPr>
      <t>W-21X73</t>
    </r>
    <r>
      <rPr>
        <b/>
        <sz val="12"/>
        <rFont val="Calibri"/>
        <family val="2"/>
        <scheme val="minor"/>
      </rPr>
      <t xml:space="preserve">
Counts: </t>
    </r>
    <r>
      <rPr>
        <sz val="12"/>
        <rFont val="Calibri"/>
        <family val="2"/>
        <scheme val="minor"/>
      </rPr>
      <t>03 EA</t>
    </r>
  </si>
  <si>
    <r>
      <t xml:space="preserve">Columns
Section: </t>
    </r>
    <r>
      <rPr>
        <sz val="12"/>
        <rFont val="Calibri"/>
        <family val="2"/>
        <scheme val="minor"/>
      </rPr>
      <t>W-21X93</t>
    </r>
    <r>
      <rPr>
        <b/>
        <sz val="12"/>
        <rFont val="Calibri"/>
        <family val="2"/>
        <scheme val="minor"/>
      </rPr>
      <t xml:space="preserve">
Counts: </t>
    </r>
    <r>
      <rPr>
        <sz val="12"/>
        <rFont val="Calibri"/>
        <family val="2"/>
        <scheme val="minor"/>
      </rPr>
      <t>02 EA</t>
    </r>
  </si>
  <si>
    <r>
      <rPr>
        <b/>
        <sz val="12"/>
        <rFont val="Calibri"/>
        <family val="2"/>
        <scheme val="minor"/>
      </rPr>
      <t xml:space="preserve">Columns 
Section: </t>
    </r>
    <r>
      <rPr>
        <sz val="12"/>
        <rFont val="Calibri"/>
        <family val="2"/>
        <scheme val="minor"/>
      </rPr>
      <t>HSS 10X10X1/2</t>
    </r>
    <r>
      <rPr>
        <b/>
        <sz val="12"/>
        <rFont val="Calibri"/>
        <family val="2"/>
        <scheme val="minor"/>
      </rPr>
      <t xml:space="preserve">
Counts: </t>
    </r>
    <r>
      <rPr>
        <sz val="12"/>
        <rFont val="Calibri"/>
        <family val="2"/>
        <scheme val="minor"/>
      </rPr>
      <t xml:space="preserve"> 02 EA</t>
    </r>
  </si>
  <si>
    <r>
      <rPr>
        <b/>
        <sz val="12"/>
        <rFont val="Calibri"/>
        <family val="2"/>
        <scheme val="minor"/>
      </rPr>
      <t xml:space="preserve">Columns
Section: </t>
    </r>
    <r>
      <rPr>
        <sz val="12"/>
        <rFont val="Calibri"/>
        <family val="2"/>
        <scheme val="minor"/>
      </rPr>
      <t xml:space="preserve">HSS 12X4X1/4 </t>
    </r>
    <r>
      <rPr>
        <b/>
        <sz val="12"/>
        <rFont val="Calibri"/>
        <family val="2"/>
        <scheme val="minor"/>
      </rPr>
      <t xml:space="preserve">
Counts:  </t>
    </r>
    <r>
      <rPr>
        <sz val="12"/>
        <rFont val="Calibri"/>
        <family val="2"/>
        <scheme val="minor"/>
      </rPr>
      <t>01 EA</t>
    </r>
  </si>
  <si>
    <r>
      <rPr>
        <b/>
        <sz val="12"/>
        <rFont val="Calibri"/>
        <family val="2"/>
        <scheme val="minor"/>
      </rPr>
      <t xml:space="preserve">Columns 
Section: </t>
    </r>
    <r>
      <rPr>
        <sz val="12"/>
        <rFont val="Calibri"/>
        <family val="2"/>
        <scheme val="minor"/>
      </rPr>
      <t>HSS 20X4X1/4</t>
    </r>
    <r>
      <rPr>
        <b/>
        <sz val="12"/>
        <rFont val="Calibri"/>
        <family val="2"/>
        <scheme val="minor"/>
      </rPr>
      <t xml:space="preserve">
Counts:  </t>
    </r>
    <r>
      <rPr>
        <sz val="12"/>
        <rFont val="Calibri"/>
        <family val="2"/>
        <scheme val="minor"/>
      </rPr>
      <t>02 EA</t>
    </r>
  </si>
  <si>
    <r>
      <rPr>
        <b/>
        <sz val="12"/>
        <rFont val="Calibri"/>
        <family val="2"/>
        <scheme val="minor"/>
      </rPr>
      <t xml:space="preserve">Columns
Section: </t>
    </r>
    <r>
      <rPr>
        <sz val="12"/>
        <rFont val="Calibri"/>
        <family val="2"/>
        <scheme val="minor"/>
      </rPr>
      <t xml:space="preserve">HSS 6X6X3/8 </t>
    </r>
    <r>
      <rPr>
        <b/>
        <sz val="12"/>
        <rFont val="Calibri"/>
        <family val="2"/>
        <scheme val="minor"/>
      </rPr>
      <t xml:space="preserve">
Counts:  </t>
    </r>
    <r>
      <rPr>
        <sz val="12"/>
        <rFont val="Calibri"/>
        <family val="2"/>
        <scheme val="minor"/>
      </rPr>
      <t>01 EA</t>
    </r>
  </si>
  <si>
    <r>
      <rPr>
        <b/>
        <sz val="12"/>
        <rFont val="Calibri"/>
        <family val="2"/>
        <scheme val="minor"/>
      </rPr>
      <t>Columns
Section</t>
    </r>
    <r>
      <rPr>
        <sz val="12"/>
        <rFont val="Calibri"/>
        <family val="2"/>
        <scheme val="minor"/>
      </rPr>
      <t>: HSS 8X8X3/8</t>
    </r>
    <r>
      <rPr>
        <b/>
        <sz val="12"/>
        <rFont val="Calibri"/>
        <family val="2"/>
        <scheme val="minor"/>
      </rPr>
      <t xml:space="preserve">
Counts:  </t>
    </r>
    <r>
      <rPr>
        <sz val="12"/>
        <rFont val="Calibri"/>
        <family val="2"/>
        <scheme val="minor"/>
      </rPr>
      <t>04 EA</t>
    </r>
  </si>
  <si>
    <r>
      <rPr>
        <b/>
        <sz val="12"/>
        <rFont val="Calibri"/>
        <family val="2"/>
        <scheme val="minor"/>
      </rPr>
      <t xml:space="preserve">Column C5
Section: </t>
    </r>
    <r>
      <rPr>
        <sz val="12"/>
        <rFont val="Calibri"/>
        <family val="2"/>
        <scheme val="minor"/>
      </rPr>
      <t xml:space="preserve">W-12X72
</t>
    </r>
    <r>
      <rPr>
        <b/>
        <sz val="12"/>
        <rFont val="Calibri"/>
        <family val="2"/>
        <scheme val="minor"/>
      </rPr>
      <t xml:space="preserve">Counts: </t>
    </r>
    <r>
      <rPr>
        <sz val="12"/>
        <rFont val="Calibri"/>
        <family val="2"/>
        <scheme val="minor"/>
      </rPr>
      <t>02 EA</t>
    </r>
  </si>
  <si>
    <r>
      <rPr>
        <b/>
        <sz val="12"/>
        <rFont val="Calibri"/>
        <family val="2"/>
        <scheme val="minor"/>
      </rPr>
      <t xml:space="preserve">Column C4
Section: </t>
    </r>
    <r>
      <rPr>
        <sz val="12"/>
        <rFont val="Calibri"/>
        <family val="2"/>
        <scheme val="minor"/>
      </rPr>
      <t xml:space="preserve">HSS 12X12X1/2
</t>
    </r>
    <r>
      <rPr>
        <b/>
        <sz val="12"/>
        <rFont val="Calibri"/>
        <family val="2"/>
        <scheme val="minor"/>
      </rPr>
      <t>Counts:</t>
    </r>
    <r>
      <rPr>
        <sz val="12"/>
        <rFont val="Calibri"/>
        <family val="2"/>
        <scheme val="minor"/>
      </rPr>
      <t xml:space="preserve"> 03 EA</t>
    </r>
  </si>
  <si>
    <r>
      <rPr>
        <b/>
        <sz val="12"/>
        <rFont val="Calibri"/>
        <family val="2"/>
        <scheme val="minor"/>
      </rPr>
      <t xml:space="preserve">Column C2
Section: </t>
    </r>
    <r>
      <rPr>
        <sz val="12"/>
        <rFont val="Calibri"/>
        <family val="2"/>
        <scheme val="minor"/>
      </rPr>
      <t xml:space="preserve">HSS 8X6X5/8
</t>
    </r>
    <r>
      <rPr>
        <b/>
        <sz val="12"/>
        <rFont val="Calibri"/>
        <family val="2"/>
        <scheme val="minor"/>
      </rPr>
      <t xml:space="preserve">Counts: </t>
    </r>
    <r>
      <rPr>
        <sz val="12"/>
        <rFont val="Calibri"/>
        <family val="2"/>
        <scheme val="minor"/>
      </rPr>
      <t>04 EA</t>
    </r>
  </si>
  <si>
    <r>
      <rPr>
        <b/>
        <sz val="12"/>
        <rFont val="Calibri"/>
        <family val="2"/>
        <scheme val="minor"/>
      </rPr>
      <t xml:space="preserve">Column C1
Section: </t>
    </r>
    <r>
      <rPr>
        <sz val="12"/>
        <rFont val="Calibri"/>
        <family val="2"/>
        <scheme val="minor"/>
      </rPr>
      <t xml:space="preserve">HSS 6X6X3/8
</t>
    </r>
    <r>
      <rPr>
        <b/>
        <sz val="12"/>
        <rFont val="Calibri"/>
        <family val="2"/>
        <scheme val="minor"/>
      </rPr>
      <t>Counts:</t>
    </r>
    <r>
      <rPr>
        <sz val="12"/>
        <rFont val="Calibri"/>
        <family val="2"/>
        <scheme val="minor"/>
      </rPr>
      <t xml:space="preserve"> 02 EA</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</si>
</sst>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0_);_(* \(#,##0\);_(* &quot;-&quot;_);_(@_)"/>
    <numFmt numFmtId="44" formatCode="_(&quot;$&quot;* #,##0.00_);_(&quot;$&quot;* \(#,##0.00\);_(&quot;$&quot;* &quot;-&quot;??_);_(@_)"/>
    <numFmt numFmtId="43" formatCode="_(* #,##0.00_);_(* \(#,##0.00\);_(* &quot;-&quot;??_);_(@_)"/>
    <numFmt numFmtId="164" formatCode="&quot;$&quot;#,##0"/>
    <numFmt numFmtId="165" formatCode="_(&quot;$&quot;* #,##0_);_(&quot;$&quot;* \(#,##0\);_(&quot;$&quot;* &quot;-&quot;??_);_(@_)"/>
    <numFmt numFmtId="166" formatCode="_(&quot;$&quot;* #,##0_);_(&quot;$&quot;* \(#,##0\);_(&quot;$&quot;* &quot;-&quot;?_);_(@_)"/>
    <numFmt numFmtId="167" formatCode="&quot;$&quot;#,##0.00"/>
  </numFmts>
  <fonts count="47" x14ac:knownFonts="1">
    <font>
      <sz val="12"/>
      <name val="Arial"/>
    </font>
    <font>
      <sz val="11"/>
      <color theme="1"/>
      <name val="Calibri"/>
      <family val="2"/>
      <scheme val="minor"/>
    </font>
    <font>
      <sz val="11"/>
      <color theme="1"/>
      <name val="Calibri"/>
      <family val="2"/>
      <scheme val="minor"/>
    </font>
    <font>
      <b/>
      <sz val="12"/>
      <name val="Verdana"/>
      <family val="2"/>
    </font>
    <font>
      <sz val="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2"/>
      <name val="Arial"/>
      <family val="2"/>
    </font>
    <font>
      <sz val="10"/>
      <name val="Arial"/>
      <family val="2"/>
    </font>
    <font>
      <sz val="12"/>
      <name val="Calibri"/>
      <family val="2"/>
      <scheme val="minor"/>
    </font>
    <font>
      <b/>
      <sz val="12"/>
      <name val="Calibri"/>
      <family val="2"/>
      <scheme val="minor"/>
    </font>
    <font>
      <b/>
      <sz val="12"/>
      <color theme="0"/>
      <name val="Calibri"/>
      <family val="2"/>
      <scheme val="minor"/>
    </font>
    <font>
      <u/>
      <sz val="12"/>
      <color theme="10"/>
      <name val="Arial"/>
      <family val="2"/>
    </font>
    <font>
      <sz val="12"/>
      <color theme="0"/>
      <name val="Calibri"/>
      <family val="2"/>
      <scheme val="minor"/>
    </font>
    <font>
      <sz val="12"/>
      <color theme="1"/>
      <name val="Calibri"/>
      <family val="2"/>
      <scheme val="minor"/>
    </font>
    <font>
      <u/>
      <sz val="12"/>
      <color theme="0"/>
      <name val="Arial"/>
      <family val="2"/>
    </font>
    <font>
      <sz val="12"/>
      <name val="Arial"/>
      <family val="2"/>
    </font>
    <font>
      <b/>
      <u/>
      <sz val="12"/>
      <name val="Calibri"/>
      <family val="2"/>
      <scheme val="minor"/>
    </font>
    <font>
      <u/>
      <sz val="12"/>
      <color theme="0"/>
      <name val="Calibri"/>
      <family val="2"/>
      <scheme val="minor"/>
    </font>
    <font>
      <b/>
      <sz val="12"/>
      <color theme="1"/>
      <name val="Verdana"/>
      <family val="2"/>
    </font>
    <font>
      <b/>
      <i/>
      <sz val="12"/>
      <color rgb="FF002060"/>
      <name val="Calibri"/>
      <family val="2"/>
      <scheme val="minor"/>
    </font>
    <font>
      <u/>
      <sz val="12"/>
      <color theme="1"/>
      <name val="Calibri"/>
      <family val="2"/>
      <scheme val="minor"/>
    </font>
    <font>
      <b/>
      <sz val="12"/>
      <color theme="1"/>
      <name val="Calibri"/>
      <family val="2"/>
      <scheme val="minor"/>
    </font>
    <font>
      <b/>
      <sz val="12"/>
      <color rgb="FFFF0000"/>
      <name val="Verdana"/>
      <family val="2"/>
    </font>
    <font>
      <b/>
      <sz val="12"/>
      <color theme="0"/>
      <name val="Times New Roman"/>
      <family val="1"/>
    </font>
    <font>
      <sz val="12"/>
      <name val="Cambria"/>
      <family val="1"/>
      <scheme val="major"/>
    </font>
    <font>
      <b/>
      <sz val="12"/>
      <name val="Cambria"/>
      <family val="1"/>
      <scheme val="major"/>
    </font>
    <font>
      <b/>
      <sz val="12"/>
      <color theme="0"/>
      <name val="Cambria"/>
      <family val="1"/>
      <scheme val="major"/>
    </font>
    <font>
      <b/>
      <i/>
      <sz val="12"/>
      <color rgb="FFFF0000"/>
      <name val="Calibri"/>
      <family val="2"/>
      <scheme val="minor"/>
    </font>
    <font>
      <sz val="12"/>
      <color rgb="FF002060"/>
      <name val="Arial"/>
      <family val="2"/>
    </font>
    <font>
      <b/>
      <i/>
      <sz val="12"/>
      <color rgb="FFFF512C"/>
      <name val="Arial"/>
      <family val="2"/>
    </font>
    <font>
      <b/>
      <i/>
      <sz val="12"/>
      <color theme="5" tint="-0.249977111117893"/>
      <name val="Arial"/>
      <family val="2"/>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ED2DC"/>
        <bgColor indexed="64"/>
      </patternFill>
    </fill>
    <fill>
      <patternFill patternType="solid">
        <fgColor theme="0" tint="-0.14999847407452621"/>
        <bgColor indexed="64"/>
      </patternFill>
    </fill>
    <fill>
      <patternFill patternType="solid">
        <fgColor rgb="FFD5D5D5"/>
        <bgColor indexed="64"/>
      </patternFill>
    </fill>
    <fill>
      <patternFill patternType="solid">
        <fgColor rgb="FFFFC000"/>
        <bgColor indexed="64"/>
      </patternFill>
    </fill>
    <fill>
      <patternFill patternType="solid">
        <fgColor rgb="FF002060"/>
        <bgColor indexed="64"/>
      </patternFill>
    </fill>
    <fill>
      <patternFill patternType="solid">
        <fgColor rgb="FF00B050"/>
        <bgColor indexed="64"/>
      </patternFill>
    </fill>
    <fill>
      <patternFill patternType="solid">
        <fgColor theme="4" tint="0.39997558519241921"/>
        <bgColor indexed="64"/>
      </patternFill>
    </fill>
    <fill>
      <patternFill patternType="solid">
        <fgColor theme="0" tint="-0.249977111117893"/>
        <bgColor indexed="64"/>
      </patternFill>
    </fill>
    <fill>
      <patternFill patternType="solid">
        <fgColor theme="0" tint="-0.34998626667073579"/>
        <bgColor indexed="64"/>
      </patternFill>
    </fill>
  </fills>
  <borders count="4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s>
  <cellStyleXfs count="59">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7" fillId="3" borderId="0" applyNumberFormat="0" applyBorder="0" applyAlignment="0" applyProtection="0"/>
    <xf numFmtId="0" fontId="8" fillId="20" borderId="1" applyNumberFormat="0" applyAlignment="0" applyProtection="0"/>
    <xf numFmtId="0" fontId="9" fillId="21" borderId="2" applyNumberFormat="0" applyAlignment="0" applyProtection="0"/>
    <xf numFmtId="0" fontId="10" fillId="0" borderId="0" applyNumberFormat="0" applyFill="0" applyBorder="0" applyAlignment="0" applyProtection="0"/>
    <xf numFmtId="0" fontId="11" fillId="4" borderId="0" applyNumberFormat="0" applyBorder="0" applyAlignment="0" applyProtection="0"/>
    <xf numFmtId="0" fontId="12" fillId="0" borderId="3"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0" applyNumberFormat="0" applyFill="0" applyBorder="0" applyAlignment="0" applyProtection="0"/>
    <xf numFmtId="0" fontId="15" fillId="7" borderId="1" applyNumberFormat="0" applyAlignment="0" applyProtection="0"/>
    <xf numFmtId="0" fontId="16" fillId="0" borderId="6" applyNumberFormat="0" applyFill="0" applyAlignment="0" applyProtection="0"/>
    <xf numFmtId="0" fontId="17" fillId="22" borderId="0" applyNumberFormat="0" applyBorder="0" applyAlignment="0" applyProtection="0"/>
    <xf numFmtId="0" fontId="4" fillId="0" borderId="0"/>
    <xf numFmtId="0" fontId="4" fillId="23" borderId="7" applyNumberFormat="0" applyFont="0" applyAlignment="0" applyProtection="0"/>
    <xf numFmtId="0" fontId="18" fillId="20" borderId="8" applyNumberFormat="0" applyAlignment="0" applyProtection="0"/>
    <xf numFmtId="0" fontId="19" fillId="0" borderId="0" applyNumberFormat="0" applyFill="0" applyBorder="0" applyAlignment="0" applyProtection="0"/>
    <xf numFmtId="0" fontId="20" fillId="0" borderId="9" applyNumberFormat="0" applyFill="0" applyAlignment="0" applyProtection="0"/>
    <xf numFmtId="0" fontId="21" fillId="0" borderId="0" applyNumberFormat="0" applyFill="0" applyBorder="0" applyAlignment="0" applyProtection="0"/>
    <xf numFmtId="0" fontId="2" fillId="0" borderId="0"/>
    <xf numFmtId="0" fontId="22" fillId="0" borderId="0"/>
    <xf numFmtId="0" fontId="4" fillId="0" borderId="0"/>
    <xf numFmtId="43" fontId="22" fillId="0" borderId="0" applyFont="0" applyFill="0" applyBorder="0" applyAlignment="0" applyProtection="0"/>
    <xf numFmtId="0" fontId="23" fillId="0" borderId="0"/>
    <xf numFmtId="43" fontId="4" fillId="0" borderId="0" applyFont="0" applyFill="0" applyBorder="0" applyAlignment="0" applyProtection="0"/>
    <xf numFmtId="0" fontId="4" fillId="0" borderId="0"/>
    <xf numFmtId="44" fontId="23" fillId="0" borderId="0" applyFont="0" applyFill="0" applyBorder="0" applyAlignment="0" applyProtection="0"/>
    <xf numFmtId="0" fontId="1" fillId="0" borderId="0"/>
    <xf numFmtId="0" fontId="4" fillId="0" borderId="0"/>
    <xf numFmtId="0" fontId="1" fillId="0" borderId="0"/>
    <xf numFmtId="0" fontId="27" fillId="0" borderId="0" applyNumberFormat="0" applyFill="0" applyBorder="0" applyAlignment="0" applyProtection="0"/>
    <xf numFmtId="44" fontId="4" fillId="0" borderId="0" applyFont="0" applyFill="0" applyBorder="0" applyAlignment="0" applyProtection="0"/>
    <xf numFmtId="44" fontId="31" fillId="0" borderId="0" applyFont="0" applyFill="0" applyBorder="0" applyAlignment="0" applyProtection="0"/>
    <xf numFmtId="9" fontId="31" fillId="0" borderId="0" applyFont="0" applyFill="0" applyBorder="0" applyAlignment="0" applyProtection="0"/>
    <xf numFmtId="9" fontId="4" fillId="0" borderId="0" applyFont="0" applyFill="0" applyBorder="0" applyAlignment="0" applyProtection="0"/>
  </cellStyleXfs>
  <cellXfs count="241">
    <xf numFmtId="0" fontId="0" fillId="0" borderId="0" xfId="0"/>
    <xf numFmtId="0" fontId="24" fillId="0" borderId="0" xfId="0" applyFont="1" applyFill="1" applyBorder="1" applyAlignment="1">
      <alignment vertical="top"/>
    </xf>
    <xf numFmtId="0" fontId="24" fillId="24" borderId="10" xfId="0" applyFont="1" applyFill="1" applyBorder="1" applyAlignment="1" applyProtection="1">
      <alignment horizontal="center" vertical="top" wrapText="1"/>
    </xf>
    <xf numFmtId="0" fontId="24" fillId="0" borderId="13" xfId="0" applyFont="1" applyBorder="1" applyAlignment="1">
      <alignment horizontal="center" vertical="top"/>
    </xf>
    <xf numFmtId="0" fontId="24" fillId="0" borderId="0" xfId="0" applyFont="1" applyBorder="1" applyAlignment="1">
      <alignment vertical="top"/>
    </xf>
    <xf numFmtId="0" fontId="24" fillId="0" borderId="0" xfId="0" applyFont="1" applyBorder="1" applyAlignment="1">
      <alignment horizontal="center" vertical="top"/>
    </xf>
    <xf numFmtId="2" fontId="24" fillId="0" borderId="0" xfId="0" applyNumberFormat="1" applyFont="1" applyBorder="1" applyAlignment="1">
      <alignment horizontal="center" vertical="top" wrapText="1"/>
    </xf>
    <xf numFmtId="164" fontId="24" fillId="0" borderId="0" xfId="0" applyNumberFormat="1" applyFont="1" applyBorder="1" applyAlignment="1">
      <alignment vertical="top"/>
    </xf>
    <xf numFmtId="0" fontId="28" fillId="0" borderId="0" xfId="0" applyFont="1" applyFill="1" applyBorder="1" applyAlignment="1">
      <alignment horizontal="center" vertical="top" wrapText="1"/>
    </xf>
    <xf numFmtId="0" fontId="29" fillId="25" borderId="0" xfId="0" applyFont="1" applyFill="1" applyBorder="1" applyAlignment="1">
      <alignment vertical="top"/>
    </xf>
    <xf numFmtId="2" fontId="24" fillId="0" borderId="0" xfId="0" applyNumberFormat="1" applyFont="1" applyBorder="1" applyAlignment="1">
      <alignment horizontal="left" vertical="top" wrapText="1"/>
    </xf>
    <xf numFmtId="1" fontId="24" fillId="0" borderId="16" xfId="0" applyNumberFormat="1" applyFont="1" applyFill="1" applyBorder="1" applyAlignment="1">
      <alignment horizontal="center" vertical="top"/>
    </xf>
    <xf numFmtId="2" fontId="3" fillId="24" borderId="0" xfId="0" applyNumberFormat="1" applyFont="1" applyFill="1" applyBorder="1" applyAlignment="1">
      <alignment vertical="top"/>
    </xf>
    <xf numFmtId="0" fontId="24" fillId="24" borderId="0" xfId="0" applyFont="1" applyFill="1" applyBorder="1" applyAlignment="1">
      <alignment vertical="top"/>
    </xf>
    <xf numFmtId="2" fontId="3" fillId="24" borderId="13" xfId="0" applyNumberFormat="1" applyFont="1" applyFill="1" applyBorder="1" applyAlignment="1">
      <alignment horizontal="left" vertical="top"/>
    </xf>
    <xf numFmtId="0" fontId="24" fillId="24" borderId="24" xfId="0" applyFont="1" applyFill="1" applyBorder="1" applyAlignment="1">
      <alignment horizontal="center" vertical="top"/>
    </xf>
    <xf numFmtId="0" fontId="24" fillId="24" borderId="13" xfId="0" applyFont="1" applyFill="1" applyBorder="1" applyAlignment="1">
      <alignment horizontal="left" vertical="top"/>
    </xf>
    <xf numFmtId="0" fontId="24" fillId="0" borderId="25" xfId="0" applyFont="1" applyFill="1" applyBorder="1" applyAlignment="1" applyProtection="1">
      <alignment horizontal="center" vertical="top"/>
    </xf>
    <xf numFmtId="1" fontId="24" fillId="0" borderId="0" xfId="0" applyNumberFormat="1" applyFont="1" applyBorder="1" applyAlignment="1">
      <alignment horizontal="center" vertical="top" wrapText="1"/>
    </xf>
    <xf numFmtId="41" fontId="24" fillId="24" borderId="17" xfId="0" applyNumberFormat="1" applyFont="1" applyFill="1" applyBorder="1" applyAlignment="1">
      <alignment horizontal="center" vertical="top"/>
    </xf>
    <xf numFmtId="0" fontId="24" fillId="24" borderId="17" xfId="0" applyFont="1" applyFill="1" applyBorder="1" applyAlignment="1">
      <alignment horizontal="center" vertical="top"/>
    </xf>
    <xf numFmtId="0" fontId="25" fillId="24" borderId="0" xfId="0" applyFont="1" applyFill="1" applyBorder="1" applyAlignment="1">
      <alignment horizontal="left" vertical="top"/>
    </xf>
    <xf numFmtId="14" fontId="24" fillId="24" borderId="0" xfId="0" applyNumberFormat="1" applyFont="1" applyFill="1" applyBorder="1" applyAlignment="1">
      <alignment horizontal="left" vertical="top"/>
    </xf>
    <xf numFmtId="0" fontId="24" fillId="24" borderId="16" xfId="0" applyFont="1" applyFill="1" applyBorder="1" applyAlignment="1" applyProtection="1">
      <alignment horizontal="center" vertical="top"/>
    </xf>
    <xf numFmtId="0" fontId="24" fillId="24" borderId="31" xfId="0" applyFont="1" applyFill="1" applyBorder="1" applyAlignment="1" applyProtection="1">
      <alignment horizontal="center" vertical="top" wrapText="1"/>
    </xf>
    <xf numFmtId="0" fontId="24" fillId="24" borderId="31" xfId="0" applyFont="1" applyFill="1" applyBorder="1" applyAlignment="1" applyProtection="1">
      <alignment horizontal="center" vertical="top"/>
    </xf>
    <xf numFmtId="0" fontId="24" fillId="24" borderId="32" xfId="0" applyFont="1" applyFill="1" applyBorder="1" applyAlignment="1" applyProtection="1">
      <alignment horizontal="center" vertical="top" wrapText="1"/>
    </xf>
    <xf numFmtId="165" fontId="24" fillId="0" borderId="34" xfId="0" applyNumberFormat="1" applyFont="1" applyFill="1" applyBorder="1" applyAlignment="1">
      <alignment horizontal="center" vertical="top"/>
    </xf>
    <xf numFmtId="2" fontId="25" fillId="0" borderId="30" xfId="0" applyNumberFormat="1" applyFont="1" applyFill="1" applyBorder="1" applyAlignment="1">
      <alignment horizontal="right" vertical="top" wrapText="1"/>
    </xf>
    <xf numFmtId="41" fontId="24" fillId="24" borderId="28" xfId="0" applyNumberFormat="1" applyFont="1" applyFill="1" applyBorder="1" applyAlignment="1">
      <alignment horizontal="center" vertical="top"/>
    </xf>
    <xf numFmtId="0" fontId="24" fillId="24" borderId="28" xfId="0" applyFont="1" applyFill="1" applyBorder="1" applyAlignment="1">
      <alignment horizontal="center" vertical="top"/>
    </xf>
    <xf numFmtId="166" fontId="25" fillId="24" borderId="22" xfId="0" applyNumberFormat="1" applyFont="1" applyFill="1" applyBorder="1" applyAlignment="1" applyProtection="1">
      <alignment horizontal="center" vertical="top"/>
    </xf>
    <xf numFmtId="165" fontId="25" fillId="0" borderId="20" xfId="0" applyNumberFormat="1" applyFont="1" applyFill="1" applyBorder="1" applyAlignment="1">
      <alignment horizontal="center" vertical="top"/>
    </xf>
    <xf numFmtId="2" fontId="24" fillId="24" borderId="30" xfId="0" applyNumberFormat="1" applyFont="1" applyFill="1" applyBorder="1" applyAlignment="1">
      <alignment horizontal="left" vertical="top" wrapText="1"/>
    </xf>
    <xf numFmtId="1" fontId="24" fillId="24" borderId="10" xfId="0" applyNumberFormat="1" applyFont="1" applyFill="1" applyBorder="1" applyAlignment="1">
      <alignment horizontal="center" vertical="top"/>
    </xf>
    <xf numFmtId="41" fontId="24" fillId="24" borderId="10" xfId="0" applyNumberFormat="1" applyFont="1" applyFill="1" applyBorder="1" applyAlignment="1">
      <alignment horizontal="center" vertical="top"/>
    </xf>
    <xf numFmtId="0" fontId="24" fillId="24" borderId="10" xfId="0" applyFont="1" applyFill="1" applyBorder="1" applyAlignment="1">
      <alignment horizontal="center" vertical="top"/>
    </xf>
    <xf numFmtId="1" fontId="24" fillId="24" borderId="17" xfId="0" applyNumberFormat="1" applyFont="1" applyFill="1" applyBorder="1" applyAlignment="1">
      <alignment horizontal="center" vertical="top"/>
    </xf>
    <xf numFmtId="9" fontId="24" fillId="24" borderId="10" xfId="0" applyNumberFormat="1" applyFont="1" applyFill="1" applyBorder="1" applyAlignment="1">
      <alignment horizontal="center" vertical="top"/>
    </xf>
    <xf numFmtId="1" fontId="24" fillId="0" borderId="10" xfId="0" applyNumberFormat="1" applyFont="1" applyFill="1" applyBorder="1" applyAlignment="1" applyProtection="1">
      <alignment horizontal="right" vertical="top"/>
    </xf>
    <xf numFmtId="2" fontId="24" fillId="0" borderId="16" xfId="0" applyNumberFormat="1" applyFont="1" applyFill="1" applyBorder="1" applyAlignment="1">
      <alignment horizontal="left" vertical="top" wrapText="1"/>
    </xf>
    <xf numFmtId="165" fontId="24" fillId="24" borderId="33" xfId="0" applyNumberFormat="1" applyFont="1" applyFill="1" applyBorder="1" applyAlignment="1">
      <alignment horizontal="center" vertical="top"/>
    </xf>
    <xf numFmtId="165" fontId="24" fillId="24" borderId="18" xfId="55" applyNumberFormat="1" applyFont="1" applyFill="1" applyBorder="1" applyAlignment="1">
      <alignment horizontal="center" vertical="top"/>
    </xf>
    <xf numFmtId="0" fontId="24" fillId="24" borderId="12" xfId="0" applyFont="1" applyFill="1" applyBorder="1" applyAlignment="1">
      <alignment vertical="top"/>
    </xf>
    <xf numFmtId="0" fontId="33" fillId="0" borderId="0" xfId="0" applyFont="1" applyFill="1" applyBorder="1" applyAlignment="1">
      <alignment vertical="top"/>
    </xf>
    <xf numFmtId="0" fontId="24" fillId="24" borderId="29" xfId="0" applyFont="1" applyFill="1" applyBorder="1" applyAlignment="1" applyProtection="1">
      <alignment horizontal="center" vertical="top"/>
    </xf>
    <xf numFmtId="0" fontId="24" fillId="24" borderId="37" xfId="0" applyFont="1" applyFill="1" applyBorder="1" applyAlignment="1" applyProtection="1">
      <alignment horizontal="center" vertical="top" wrapText="1"/>
    </xf>
    <xf numFmtId="0" fontId="24" fillId="24" borderId="36" xfId="0" applyFont="1" applyFill="1" applyBorder="1" applyAlignment="1" applyProtection="1">
      <alignment horizontal="center" vertical="top" wrapText="1"/>
    </xf>
    <xf numFmtId="0" fontId="24" fillId="24" borderId="35" xfId="0" applyFont="1" applyFill="1" applyBorder="1" applyAlignment="1" applyProtection="1">
      <alignment horizontal="center" vertical="top" wrapText="1"/>
    </xf>
    <xf numFmtId="0" fontId="24" fillId="24" borderId="38" xfId="0" applyFont="1" applyFill="1" applyBorder="1" applyAlignment="1" applyProtection="1">
      <alignment horizontal="center" vertical="top" wrapText="1"/>
    </xf>
    <xf numFmtId="44" fontId="24" fillId="24" borderId="17" xfId="55" applyNumberFormat="1" applyFont="1" applyFill="1" applyBorder="1" applyAlignment="1" applyProtection="1">
      <alignment horizontal="center" vertical="top"/>
    </xf>
    <xf numFmtId="44" fontId="24" fillId="24" borderId="28" xfId="55" applyNumberFormat="1" applyFont="1" applyFill="1" applyBorder="1" applyAlignment="1" applyProtection="1">
      <alignment horizontal="center" vertical="top"/>
    </xf>
    <xf numFmtId="44" fontId="24" fillId="24" borderId="10" xfId="55" applyNumberFormat="1" applyFont="1" applyFill="1" applyBorder="1" applyAlignment="1" applyProtection="1">
      <alignment horizontal="center" vertical="top"/>
    </xf>
    <xf numFmtId="44" fontId="24" fillId="0" borderId="0" xfId="56" applyNumberFormat="1" applyFont="1" applyBorder="1" applyAlignment="1">
      <alignment horizontal="center" vertical="top"/>
    </xf>
    <xf numFmtId="44" fontId="24" fillId="24" borderId="0" xfId="0" applyNumberFormat="1" applyFont="1" applyFill="1" applyBorder="1" applyAlignment="1">
      <alignment vertical="top"/>
    </xf>
    <xf numFmtId="2" fontId="34" fillId="24" borderId="12" xfId="0" applyNumberFormat="1" applyFont="1" applyFill="1" applyBorder="1" applyAlignment="1">
      <alignment horizontal="left" vertical="top"/>
    </xf>
    <xf numFmtId="2" fontId="34" fillId="24" borderId="11" xfId="0" applyNumberFormat="1" applyFont="1" applyFill="1" applyBorder="1" applyAlignment="1">
      <alignment horizontal="left" vertical="top"/>
    </xf>
    <xf numFmtId="2" fontId="34" fillId="24" borderId="23" xfId="0" applyNumberFormat="1" applyFont="1" applyFill="1" applyBorder="1" applyAlignment="1">
      <alignment horizontal="left" vertical="top"/>
    </xf>
    <xf numFmtId="2" fontId="29" fillId="24" borderId="12" xfId="0" applyNumberFormat="1" applyFont="1" applyFill="1" applyBorder="1" applyAlignment="1">
      <alignment horizontal="center" vertical="top"/>
    </xf>
    <xf numFmtId="44" fontId="29" fillId="24" borderId="12" xfId="56" applyNumberFormat="1" applyFont="1" applyFill="1" applyBorder="1" applyAlignment="1">
      <alignment horizontal="center" vertical="top"/>
    </xf>
    <xf numFmtId="2" fontId="34" fillId="24" borderId="23" xfId="0" applyNumberFormat="1" applyFont="1" applyFill="1" applyBorder="1" applyAlignment="1">
      <alignment horizontal="center" vertical="top"/>
    </xf>
    <xf numFmtId="9" fontId="24" fillId="24" borderId="27" xfId="58" applyFont="1" applyFill="1" applyBorder="1" applyAlignment="1" applyProtection="1">
      <alignment horizontal="center" vertical="top"/>
    </xf>
    <xf numFmtId="9" fontId="24" fillId="24" borderId="10" xfId="58" applyFont="1" applyFill="1" applyBorder="1" applyAlignment="1" applyProtection="1">
      <alignment horizontal="center" vertical="top"/>
    </xf>
    <xf numFmtId="165" fontId="25" fillId="0" borderId="21" xfId="0" applyNumberFormat="1" applyFont="1" applyFill="1" applyBorder="1" applyAlignment="1">
      <alignment horizontal="center" vertical="top"/>
    </xf>
    <xf numFmtId="9" fontId="24" fillId="24" borderId="17" xfId="58" applyFont="1" applyFill="1" applyBorder="1" applyAlignment="1" applyProtection="1">
      <alignment horizontal="center" vertical="top"/>
    </xf>
    <xf numFmtId="9" fontId="24" fillId="24" borderId="28" xfId="58" applyFont="1" applyFill="1" applyBorder="1" applyAlignment="1" applyProtection="1">
      <alignment horizontal="center" vertical="top"/>
    </xf>
    <xf numFmtId="2" fontId="27" fillId="24" borderId="0" xfId="54" applyNumberFormat="1" applyFill="1" applyBorder="1" applyAlignment="1">
      <alignment horizontal="center" vertical="top"/>
    </xf>
    <xf numFmtId="14" fontId="24" fillId="24" borderId="0" xfId="45" applyNumberFormat="1" applyFont="1" applyFill="1" applyBorder="1" applyAlignment="1">
      <alignment horizontal="left" vertical="top"/>
    </xf>
    <xf numFmtId="1" fontId="24" fillId="24" borderId="27" xfId="0" applyNumberFormat="1" applyFont="1" applyFill="1" applyBorder="1" applyAlignment="1">
      <alignment horizontal="center" vertical="top"/>
    </xf>
    <xf numFmtId="2" fontId="32" fillId="24" borderId="16" xfId="0" applyNumberFormat="1" applyFont="1" applyFill="1" applyBorder="1" applyAlignment="1">
      <alignment horizontal="left" vertical="top" wrapText="1"/>
    </xf>
    <xf numFmtId="0" fontId="25" fillId="24" borderId="0" xfId="0" applyFont="1" applyFill="1" applyBorder="1" applyAlignment="1">
      <alignment vertical="top"/>
    </xf>
    <xf numFmtId="2" fontId="25" fillId="26" borderId="20" xfId="0" applyNumberFormat="1" applyFont="1" applyFill="1" applyBorder="1" applyAlignment="1">
      <alignment horizontal="center" vertical="top" wrapText="1"/>
    </xf>
    <xf numFmtId="165" fontId="25" fillId="0" borderId="24" xfId="0" applyNumberFormat="1" applyFont="1" applyFill="1" applyBorder="1" applyAlignment="1">
      <alignment horizontal="center" vertical="top"/>
    </xf>
    <xf numFmtId="44" fontId="24" fillId="24" borderId="39" xfId="55" applyNumberFormat="1" applyFont="1" applyFill="1" applyBorder="1" applyAlignment="1" applyProtection="1">
      <alignment horizontal="center" vertical="top"/>
    </xf>
    <xf numFmtId="44" fontId="25" fillId="24" borderId="0" xfId="45" applyNumberFormat="1" applyFont="1" applyFill="1" applyBorder="1" applyAlignment="1">
      <alignment horizontal="left" vertical="top"/>
    </xf>
    <xf numFmtId="2" fontId="3" fillId="24" borderId="0" xfId="45" applyNumberFormat="1" applyFont="1" applyFill="1" applyBorder="1" applyAlignment="1">
      <alignment vertical="top"/>
    </xf>
    <xf numFmtId="0" fontId="24" fillId="24" borderId="24" xfId="45" applyFont="1" applyFill="1" applyBorder="1" applyAlignment="1">
      <alignment vertical="top"/>
    </xf>
    <xf numFmtId="14" fontId="35" fillId="24" borderId="0" xfId="45" applyNumberFormat="1" applyFont="1" applyFill="1" applyBorder="1" applyAlignment="1">
      <alignment horizontal="left" vertical="top"/>
    </xf>
    <xf numFmtId="0" fontId="29" fillId="24" borderId="12" xfId="0" applyFont="1" applyFill="1" applyBorder="1" applyAlignment="1">
      <alignment vertical="top"/>
    </xf>
    <xf numFmtId="0" fontId="29" fillId="0" borderId="0" xfId="0" applyFont="1" applyFill="1" applyBorder="1" applyAlignment="1">
      <alignment vertical="top"/>
    </xf>
    <xf numFmtId="0" fontId="29" fillId="0" borderId="0" xfId="0" applyFont="1" applyFill="1" applyBorder="1" applyAlignment="1">
      <alignment horizontal="center" vertical="top" wrapText="1"/>
    </xf>
    <xf numFmtId="0" fontId="36" fillId="0" borderId="0" xfId="0" applyFont="1" applyFill="1" applyBorder="1" applyAlignment="1">
      <alignment vertical="top"/>
    </xf>
    <xf numFmtId="0" fontId="29" fillId="24" borderId="0" xfId="0" applyFont="1" applyFill="1" applyBorder="1" applyAlignment="1">
      <alignment vertical="top"/>
    </xf>
    <xf numFmtId="0" fontId="29" fillId="0" borderId="0" xfId="0" applyFont="1" applyBorder="1" applyAlignment="1">
      <alignment vertical="top"/>
    </xf>
    <xf numFmtId="2" fontId="24" fillId="24" borderId="16" xfId="0" applyNumberFormat="1" applyFont="1" applyFill="1" applyBorder="1" applyAlignment="1">
      <alignment horizontal="left" vertical="top" wrapText="1"/>
    </xf>
    <xf numFmtId="2" fontId="25" fillId="0" borderId="16" xfId="0" applyNumberFormat="1" applyFont="1" applyFill="1" applyBorder="1" applyAlignment="1">
      <alignment horizontal="left" vertical="top" wrapText="1"/>
    </xf>
    <xf numFmtId="2" fontId="38" fillId="24" borderId="12" xfId="0" applyNumberFormat="1" applyFont="1" applyFill="1" applyBorder="1" applyAlignment="1">
      <alignment horizontal="left" vertical="top"/>
    </xf>
    <xf numFmtId="0" fontId="37" fillId="24" borderId="0" xfId="0" applyFont="1" applyFill="1" applyBorder="1" applyAlignment="1">
      <alignment vertical="top"/>
    </xf>
    <xf numFmtId="41" fontId="24" fillId="0" borderId="10" xfId="0" applyNumberFormat="1" applyFont="1" applyFill="1" applyBorder="1" applyAlignment="1">
      <alignment horizontal="center" vertical="top"/>
    </xf>
    <xf numFmtId="0" fontId="24" fillId="0" borderId="10" xfId="0" applyFont="1" applyFill="1" applyBorder="1" applyAlignment="1">
      <alignment horizontal="center" vertical="top"/>
    </xf>
    <xf numFmtId="165" fontId="24" fillId="0" borderId="41" xfId="45" applyNumberFormat="1" applyFont="1" applyFill="1" applyBorder="1" applyAlignment="1">
      <alignment horizontal="center" vertical="top"/>
    </xf>
    <xf numFmtId="166" fontId="25" fillId="24" borderId="24" xfId="45" applyNumberFormat="1" applyFont="1" applyFill="1" applyBorder="1" applyAlignment="1" applyProtection="1">
      <alignment horizontal="center" vertical="top"/>
    </xf>
    <xf numFmtId="0" fontId="24" fillId="0" borderId="0" xfId="45" applyFont="1" applyFill="1" applyBorder="1" applyAlignment="1">
      <alignment vertical="top"/>
    </xf>
    <xf numFmtId="0" fontId="25" fillId="24" borderId="13" xfId="0" applyFont="1" applyFill="1" applyBorder="1" applyAlignment="1" applyProtection="1">
      <alignment horizontal="left" vertical="top"/>
    </xf>
    <xf numFmtId="0" fontId="24" fillId="24" borderId="24" xfId="0" applyFont="1" applyFill="1" applyBorder="1" applyAlignment="1" applyProtection="1">
      <alignment horizontal="center" vertical="top"/>
    </xf>
    <xf numFmtId="165" fontId="25" fillId="24" borderId="0" xfId="55" applyNumberFormat="1" applyFont="1" applyFill="1" applyBorder="1" applyAlignment="1" applyProtection="1">
      <alignment horizontal="left" vertical="top"/>
    </xf>
    <xf numFmtId="2" fontId="24" fillId="24" borderId="0" xfId="0" applyNumberFormat="1" applyFont="1" applyFill="1" applyBorder="1" applyAlignment="1">
      <alignment horizontal="center" vertical="top"/>
    </xf>
    <xf numFmtId="0" fontId="24" fillId="0" borderId="42" xfId="0" applyFont="1" applyFill="1" applyBorder="1" applyAlignment="1" applyProtection="1">
      <alignment horizontal="center" vertical="top"/>
    </xf>
    <xf numFmtId="0" fontId="24" fillId="27" borderId="14" xfId="0" applyFont="1" applyFill="1" applyBorder="1" applyAlignment="1">
      <alignment vertical="top"/>
    </xf>
    <xf numFmtId="0" fontId="25" fillId="27" borderId="15" xfId="0" applyFont="1" applyFill="1" applyBorder="1" applyAlignment="1">
      <alignment vertical="top"/>
    </xf>
    <xf numFmtId="0" fontId="25" fillId="27" borderId="15" xfId="0" applyFont="1" applyFill="1" applyBorder="1" applyAlignment="1">
      <alignment horizontal="left" vertical="top"/>
    </xf>
    <xf numFmtId="1" fontId="24" fillId="27" borderId="15" xfId="0" applyNumberFormat="1" applyFont="1" applyFill="1" applyBorder="1" applyAlignment="1">
      <alignment horizontal="center" vertical="top"/>
    </xf>
    <xf numFmtId="0" fontId="24" fillId="27" borderId="15" xfId="0" applyFont="1" applyFill="1" applyBorder="1" applyAlignment="1">
      <alignment vertical="top"/>
    </xf>
    <xf numFmtId="0" fontId="26" fillId="29" borderId="26" xfId="0" applyFont="1" applyFill="1" applyBorder="1" applyAlignment="1" applyProtection="1">
      <alignment horizontal="center" vertical="center" wrapText="1"/>
    </xf>
    <xf numFmtId="1" fontId="26" fillId="29" borderId="19" xfId="0" applyNumberFormat="1" applyFont="1" applyFill="1" applyBorder="1" applyAlignment="1" applyProtection="1">
      <alignment horizontal="center" vertical="center" wrapText="1"/>
    </xf>
    <xf numFmtId="44" fontId="26" fillId="29" borderId="19" xfId="0" applyNumberFormat="1" applyFont="1" applyFill="1" applyBorder="1" applyAlignment="1" applyProtection="1">
      <alignment horizontal="center" vertical="center" wrapText="1"/>
    </xf>
    <xf numFmtId="0" fontId="26" fillId="29" borderId="19" xfId="0" applyFont="1" applyFill="1" applyBorder="1" applyAlignment="1" applyProtection="1">
      <alignment horizontal="center" vertical="center" wrapText="1"/>
    </xf>
    <xf numFmtId="164" fontId="26" fillId="29" borderId="40" xfId="0" applyNumberFormat="1" applyFont="1" applyFill="1" applyBorder="1" applyAlignment="1" applyProtection="1">
      <alignment horizontal="center" vertical="center" wrapText="1"/>
    </xf>
    <xf numFmtId="0" fontId="28" fillId="29" borderId="19" xfId="0" applyFont="1" applyFill="1" applyBorder="1" applyAlignment="1">
      <alignment horizontal="center" vertical="top"/>
    </xf>
    <xf numFmtId="1" fontId="28" fillId="29" borderId="19" xfId="0" applyNumberFormat="1" applyFont="1" applyFill="1" applyBorder="1" applyAlignment="1">
      <alignment horizontal="center" vertical="top"/>
    </xf>
    <xf numFmtId="44" fontId="28" fillId="29" borderId="19" xfId="56" applyNumberFormat="1" applyFont="1" applyFill="1" applyBorder="1" applyAlignment="1">
      <alignment horizontal="center" vertical="top"/>
    </xf>
    <xf numFmtId="1" fontId="26" fillId="29" borderId="26" xfId="0" applyNumberFormat="1" applyFont="1" applyFill="1" applyBorder="1" applyAlignment="1">
      <alignment horizontal="left" vertical="top"/>
    </xf>
    <xf numFmtId="165" fontId="26" fillId="29" borderId="19" xfId="0" applyNumberFormat="1" applyFont="1" applyFill="1" applyBorder="1" applyAlignment="1">
      <alignment horizontal="left" vertical="top"/>
    </xf>
    <xf numFmtId="1" fontId="26" fillId="29" borderId="14" xfId="0" applyNumberFormat="1" applyFont="1" applyFill="1" applyBorder="1" applyAlignment="1">
      <alignment horizontal="left" vertical="top"/>
    </xf>
    <xf numFmtId="0" fontId="28" fillId="29" borderId="15" xfId="0" applyFont="1" applyFill="1" applyBorder="1" applyAlignment="1">
      <alignment horizontal="center" vertical="top"/>
    </xf>
    <xf numFmtId="2" fontId="28" fillId="29" borderId="15" xfId="0" applyNumberFormat="1" applyFont="1" applyFill="1" applyBorder="1" applyAlignment="1">
      <alignment horizontal="left" vertical="top" wrapText="1"/>
    </xf>
    <xf numFmtId="1" fontId="28" fillId="29" borderId="15" xfId="0" applyNumberFormat="1" applyFont="1" applyFill="1" applyBorder="1" applyAlignment="1">
      <alignment horizontal="center" vertical="top"/>
    </xf>
    <xf numFmtId="2" fontId="28" fillId="29" borderId="15" xfId="0" applyNumberFormat="1" applyFont="1" applyFill="1" applyBorder="1" applyAlignment="1">
      <alignment horizontal="center" vertical="top" wrapText="1"/>
    </xf>
    <xf numFmtId="2" fontId="30" fillId="29" borderId="15" xfId="54" applyNumberFormat="1" applyFont="1" applyFill="1" applyBorder="1" applyAlignment="1">
      <alignment horizontal="left" vertical="top"/>
    </xf>
    <xf numFmtId="44" fontId="28" fillId="29" borderId="15" xfId="56" applyNumberFormat="1" applyFont="1" applyFill="1" applyBorder="1" applyAlignment="1">
      <alignment horizontal="center" vertical="top"/>
    </xf>
    <xf numFmtId="165" fontId="26" fillId="29" borderId="15" xfId="0" applyNumberFormat="1" applyFont="1" applyFill="1" applyBorder="1" applyAlignment="1">
      <alignment horizontal="left" vertical="top"/>
    </xf>
    <xf numFmtId="165" fontId="26" fillId="29" borderId="44" xfId="0" applyNumberFormat="1" applyFont="1" applyFill="1" applyBorder="1" applyAlignment="1">
      <alignment horizontal="left" vertical="top"/>
    </xf>
    <xf numFmtId="1" fontId="25" fillId="31" borderId="14" xfId="0" applyNumberFormat="1" applyFont="1" applyFill="1" applyBorder="1" applyAlignment="1">
      <alignment horizontal="left" vertical="top"/>
    </xf>
    <xf numFmtId="1" fontId="25" fillId="31" borderId="15" xfId="0" applyNumberFormat="1" applyFont="1" applyFill="1" applyBorder="1" applyAlignment="1">
      <alignment horizontal="left" vertical="top"/>
    </xf>
    <xf numFmtId="0" fontId="24" fillId="31" borderId="15" xfId="0" applyFont="1" applyFill="1" applyBorder="1" applyAlignment="1">
      <alignment horizontal="left" vertical="top" wrapText="1"/>
    </xf>
    <xf numFmtId="1" fontId="24" fillId="31" borderId="15" xfId="0" applyNumberFormat="1" applyFont="1" applyFill="1" applyBorder="1" applyAlignment="1">
      <alignment horizontal="center" vertical="top"/>
    </xf>
    <xf numFmtId="41" fontId="24" fillId="31" borderId="15" xfId="0" applyNumberFormat="1" applyFont="1" applyFill="1" applyBorder="1" applyAlignment="1">
      <alignment horizontal="right" vertical="top"/>
    </xf>
    <xf numFmtId="0" fontId="24" fillId="31" borderId="15" xfId="0" applyFont="1" applyFill="1" applyBorder="1" applyAlignment="1">
      <alignment horizontal="center" vertical="top"/>
    </xf>
    <xf numFmtId="165" fontId="25" fillId="31" borderId="44" xfId="0" applyNumberFormat="1" applyFont="1" applyFill="1" applyBorder="1" applyAlignment="1">
      <alignment horizontal="left" vertical="top"/>
    </xf>
    <xf numFmtId="1" fontId="26" fillId="29" borderId="19" xfId="0" applyNumberFormat="1" applyFont="1" applyFill="1" applyBorder="1" applyAlignment="1">
      <alignment horizontal="left" vertical="top"/>
    </xf>
    <xf numFmtId="0" fontId="28" fillId="29" borderId="19" xfId="0" applyFont="1" applyFill="1" applyBorder="1" applyAlignment="1">
      <alignment horizontal="left" vertical="top" wrapText="1"/>
    </xf>
    <xf numFmtId="41" fontId="28" fillId="29" borderId="19" xfId="0" applyNumberFormat="1" applyFont="1" applyFill="1" applyBorder="1" applyAlignment="1">
      <alignment horizontal="right" vertical="top"/>
    </xf>
    <xf numFmtId="165" fontId="26" fillId="29" borderId="40" xfId="0" applyNumberFormat="1" applyFont="1" applyFill="1" applyBorder="1" applyAlignment="1" applyProtection="1">
      <alignment horizontal="center" vertical="top"/>
    </xf>
    <xf numFmtId="44" fontId="24" fillId="32" borderId="10" xfId="55" applyNumberFormat="1" applyFont="1" applyFill="1" applyBorder="1" applyAlignment="1" applyProtection="1">
      <alignment horizontal="center" vertical="top"/>
    </xf>
    <xf numFmtId="44" fontId="24" fillId="24" borderId="0" xfId="45" applyNumberFormat="1" applyFont="1" applyFill="1" applyBorder="1" applyAlignment="1">
      <alignment horizontal="left" vertical="top"/>
    </xf>
    <xf numFmtId="44" fontId="24" fillId="27" borderId="15" xfId="0" applyNumberFormat="1" applyFont="1" applyFill="1" applyBorder="1" applyAlignment="1">
      <alignment vertical="top"/>
    </xf>
    <xf numFmtId="9" fontId="25" fillId="28" borderId="22" xfId="57" applyFont="1" applyFill="1" applyBorder="1" applyAlignment="1">
      <alignment horizontal="center" vertical="top"/>
    </xf>
    <xf numFmtId="165" fontId="25" fillId="31" borderId="15" xfId="0" applyNumberFormat="1" applyFont="1" applyFill="1" applyBorder="1" applyAlignment="1">
      <alignment horizontal="left" vertical="top"/>
    </xf>
    <xf numFmtId="165" fontId="24" fillId="0" borderId="36" xfId="0" applyNumberFormat="1" applyFont="1" applyFill="1" applyBorder="1" applyAlignment="1">
      <alignment horizontal="center" vertical="top"/>
    </xf>
    <xf numFmtId="165" fontId="24" fillId="0" borderId="44" xfId="0" applyNumberFormat="1" applyFont="1" applyFill="1" applyBorder="1" applyAlignment="1">
      <alignment horizontal="center" vertical="top"/>
    </xf>
    <xf numFmtId="0" fontId="4" fillId="0" borderId="11" xfId="45" applyBorder="1"/>
    <xf numFmtId="0" fontId="4" fillId="0" borderId="12" xfId="45" applyBorder="1"/>
    <xf numFmtId="2" fontId="24" fillId="24" borderId="12" xfId="45" applyNumberFormat="1" applyFont="1" applyFill="1" applyBorder="1" applyAlignment="1">
      <alignment horizontal="center" vertical="top"/>
    </xf>
    <xf numFmtId="2" fontId="25" fillId="24" borderId="23" xfId="45" applyNumberFormat="1" applyFont="1" applyFill="1" applyBorder="1" applyAlignment="1">
      <alignment horizontal="center" vertical="top"/>
    </xf>
    <xf numFmtId="0" fontId="4" fillId="0" borderId="0" xfId="45"/>
    <xf numFmtId="0" fontId="4" fillId="0" borderId="13" xfId="45" applyBorder="1"/>
    <xf numFmtId="0" fontId="4" fillId="0" borderId="0" xfId="45" applyBorder="1"/>
    <xf numFmtId="0" fontId="24" fillId="24" borderId="0" xfId="45" applyFont="1" applyFill="1" applyBorder="1" applyAlignment="1">
      <alignment vertical="top"/>
    </xf>
    <xf numFmtId="0" fontId="25" fillId="24" borderId="13" xfId="45" applyFont="1" applyFill="1" applyBorder="1" applyAlignment="1">
      <alignment horizontal="left" vertical="top"/>
    </xf>
    <xf numFmtId="0" fontId="25" fillId="24" borderId="0" xfId="45" applyFont="1" applyFill="1" applyBorder="1" applyAlignment="1">
      <alignment horizontal="left" vertical="top"/>
    </xf>
    <xf numFmtId="2" fontId="3" fillId="30" borderId="0" xfId="45" applyNumberFormat="1" applyFont="1" applyFill="1" applyBorder="1" applyAlignment="1">
      <alignment vertical="top"/>
    </xf>
    <xf numFmtId="2" fontId="25" fillId="30" borderId="0" xfId="45" applyNumberFormat="1" applyFont="1" applyFill="1" applyBorder="1" applyAlignment="1">
      <alignment horizontal="left" vertical="top"/>
    </xf>
    <xf numFmtId="2" fontId="39" fillId="29" borderId="11" xfId="45" applyNumberFormat="1" applyFont="1" applyFill="1" applyBorder="1" applyAlignment="1">
      <alignment horizontal="left" vertical="top"/>
    </xf>
    <xf numFmtId="2" fontId="39" fillId="29" borderId="12" xfId="45" applyNumberFormat="1" applyFont="1" applyFill="1" applyBorder="1" applyAlignment="1">
      <alignment vertical="top"/>
    </xf>
    <xf numFmtId="14" fontId="28" fillId="29" borderId="23" xfId="45" applyNumberFormat="1" applyFont="1" applyFill="1" applyBorder="1" applyAlignment="1">
      <alignment vertical="top"/>
    </xf>
    <xf numFmtId="0" fontId="25" fillId="24" borderId="24" xfId="45" applyFont="1" applyFill="1" applyBorder="1" applyAlignment="1">
      <alignment horizontal="left" vertical="top"/>
    </xf>
    <xf numFmtId="14" fontId="24" fillId="24" borderId="13" xfId="45" applyNumberFormat="1" applyFont="1" applyFill="1" applyBorder="1" applyAlignment="1">
      <alignment horizontal="left" vertical="top"/>
    </xf>
    <xf numFmtId="2" fontId="39" fillId="29" borderId="14" xfId="45" applyNumberFormat="1" applyFont="1" applyFill="1" applyBorder="1" applyAlignment="1">
      <alignment horizontal="left" vertical="top"/>
    </xf>
    <xf numFmtId="0" fontId="39" fillId="29" borderId="15" xfId="45" applyFont="1" applyFill="1" applyBorder="1" applyAlignment="1">
      <alignment vertical="top"/>
    </xf>
    <xf numFmtId="14" fontId="28" fillId="29" borderId="44" xfId="45" applyNumberFormat="1" applyFont="1" applyFill="1" applyBorder="1" applyAlignment="1">
      <alignment vertical="top"/>
    </xf>
    <xf numFmtId="14" fontId="24" fillId="24" borderId="24" xfId="45" applyNumberFormat="1" applyFont="1" applyFill="1" applyBorder="1" applyAlignment="1">
      <alignment horizontal="left" vertical="top"/>
    </xf>
    <xf numFmtId="49" fontId="40" fillId="0" borderId="13" xfId="45" applyNumberFormat="1" applyFont="1" applyBorder="1" applyAlignment="1">
      <alignment horizontal="center" vertical="top" wrapText="1"/>
    </xf>
    <xf numFmtId="2" fontId="24" fillId="0" borderId="0" xfId="45" applyNumberFormat="1" applyFont="1" applyFill="1" applyBorder="1" applyAlignment="1">
      <alignment horizontal="left" vertical="top" wrapText="1"/>
    </xf>
    <xf numFmtId="0" fontId="39" fillId="29" borderId="14" xfId="45" applyFont="1" applyFill="1" applyBorder="1" applyAlignment="1">
      <alignment vertical="top"/>
    </xf>
    <xf numFmtId="0" fontId="42" fillId="29" borderId="15" xfId="45" applyFont="1" applyFill="1" applyBorder="1" applyAlignment="1">
      <alignment vertical="top" wrapText="1"/>
    </xf>
    <xf numFmtId="164" fontId="42" fillId="29" borderId="44" xfId="45" applyNumberFormat="1" applyFont="1" applyFill="1" applyBorder="1" applyAlignment="1">
      <alignment vertical="top"/>
    </xf>
    <xf numFmtId="0" fontId="43" fillId="0" borderId="0" xfId="45" applyFont="1" applyBorder="1" applyAlignment="1">
      <alignment horizontal="left" vertical="top"/>
    </xf>
    <xf numFmtId="0" fontId="4" fillId="0" borderId="24" xfId="45" applyBorder="1"/>
    <xf numFmtId="2" fontId="39" fillId="29" borderId="43" xfId="45" applyNumberFormat="1" applyFont="1" applyFill="1" applyBorder="1" applyAlignment="1">
      <alignment horizontal="left" vertical="top"/>
    </xf>
    <xf numFmtId="0" fontId="41" fillId="0" borderId="0" xfId="45" applyFont="1" applyBorder="1" applyAlignment="1">
      <alignment vertical="top" wrapText="1"/>
    </xf>
    <xf numFmtId="166" fontId="41" fillId="24" borderId="24" xfId="45" applyNumberFormat="1" applyFont="1" applyFill="1" applyBorder="1" applyAlignment="1" applyProtection="1">
      <alignment horizontal="left" vertical="top"/>
    </xf>
    <xf numFmtId="44" fontId="24" fillId="24" borderId="0" xfId="55" applyFont="1" applyFill="1" applyBorder="1" applyAlignment="1">
      <alignment horizontal="left" vertical="top"/>
    </xf>
    <xf numFmtId="167" fontId="25" fillId="24" borderId="0" xfId="45" applyNumberFormat="1" applyFont="1" applyFill="1" applyBorder="1" applyAlignment="1">
      <alignment horizontal="left" vertical="top"/>
    </xf>
    <xf numFmtId="0" fontId="42" fillId="29" borderId="26" xfId="45" applyFont="1" applyFill="1" applyBorder="1" applyAlignment="1">
      <alignment vertical="top"/>
    </xf>
    <xf numFmtId="0" fontId="44" fillId="29" borderId="19" xfId="45" applyFont="1" applyFill="1" applyBorder="1"/>
    <xf numFmtId="164" fontId="42" fillId="29" borderId="40" xfId="45" applyNumberFormat="1" applyFont="1" applyFill="1" applyBorder="1" applyAlignment="1">
      <alignment vertical="top"/>
    </xf>
    <xf numFmtId="164" fontId="4" fillId="0" borderId="0" xfId="45" applyNumberFormat="1"/>
    <xf numFmtId="0" fontId="4" fillId="0" borderId="14" xfId="45" applyBorder="1"/>
    <xf numFmtId="0" fontId="45" fillId="0" borderId="15" xfId="45" applyFont="1" applyBorder="1" applyAlignment="1"/>
    <xf numFmtId="0" fontId="4" fillId="0" borderId="15" xfId="45" applyBorder="1"/>
    <xf numFmtId="0" fontId="46" fillId="0" borderId="15" xfId="45" applyFont="1" applyBorder="1"/>
    <xf numFmtId="0" fontId="4" fillId="0" borderId="44" xfId="45" applyBorder="1"/>
    <xf numFmtId="0" fontId="26" fillId="29" borderId="26" xfId="45" applyFont="1" applyFill="1" applyBorder="1" applyAlignment="1" applyProtection="1">
      <alignment horizontal="center" vertical="top" wrapText="1"/>
    </xf>
    <xf numFmtId="1" fontId="26" fillId="29" borderId="19" xfId="45" applyNumberFormat="1" applyFont="1" applyFill="1" applyBorder="1" applyAlignment="1" applyProtection="1">
      <alignment horizontal="center" vertical="top" wrapText="1"/>
    </xf>
    <xf numFmtId="0" fontId="26" fillId="29" borderId="19" xfId="45" applyFont="1" applyFill="1" applyBorder="1" applyAlignment="1" applyProtection="1">
      <alignment horizontal="center" vertical="top" wrapText="1"/>
    </xf>
    <xf numFmtId="164" fontId="26" fillId="29" borderId="40" xfId="45" applyNumberFormat="1" applyFont="1" applyFill="1" applyBorder="1" applyAlignment="1" applyProtection="1">
      <alignment horizontal="center" vertical="top" wrapText="1"/>
    </xf>
    <xf numFmtId="0" fontId="28" fillId="0" borderId="0" xfId="45" applyFont="1" applyFill="1" applyBorder="1" applyAlignment="1">
      <alignment horizontal="center" vertical="top" wrapText="1"/>
    </xf>
    <xf numFmtId="0" fontId="24" fillId="0" borderId="25" xfId="45" applyFont="1" applyFill="1" applyBorder="1" applyAlignment="1" applyProtection="1">
      <alignment horizontal="center" vertical="top"/>
    </xf>
    <xf numFmtId="0" fontId="25" fillId="33" borderId="26" xfId="45" applyFont="1" applyFill="1" applyBorder="1" applyAlignment="1">
      <alignment vertical="top"/>
    </xf>
    <xf numFmtId="0" fontId="25" fillId="33" borderId="19" xfId="45" applyFont="1" applyFill="1" applyBorder="1" applyAlignment="1">
      <alignment vertical="top"/>
    </xf>
    <xf numFmtId="0" fontId="25" fillId="33" borderId="19" xfId="45" applyFont="1" applyFill="1" applyBorder="1" applyAlignment="1">
      <alignment horizontal="center" vertical="center"/>
    </xf>
    <xf numFmtId="0" fontId="25" fillId="33" borderId="19" xfId="45" applyFont="1" applyFill="1" applyBorder="1" applyAlignment="1">
      <alignment horizontal="left" vertical="top"/>
    </xf>
    <xf numFmtId="1" fontId="24" fillId="33" borderId="19" xfId="45" applyNumberFormat="1" applyFont="1" applyFill="1" applyBorder="1" applyAlignment="1">
      <alignment horizontal="center" vertical="top"/>
    </xf>
    <xf numFmtId="0" fontId="24" fillId="33" borderId="19" xfId="45" applyFont="1" applyFill="1" applyBorder="1" applyAlignment="1">
      <alignment vertical="top"/>
    </xf>
    <xf numFmtId="165" fontId="24" fillId="33" borderId="19" xfId="55" applyNumberFormat="1" applyFont="1" applyFill="1" applyBorder="1" applyAlignment="1">
      <alignment vertical="top"/>
    </xf>
    <xf numFmtId="0" fontId="24" fillId="33" borderId="40" xfId="45" applyFont="1" applyFill="1" applyBorder="1" applyAlignment="1">
      <alignment vertical="top"/>
    </xf>
    <xf numFmtId="0" fontId="29" fillId="25" borderId="0" xfId="45" applyFont="1" applyFill="1" applyBorder="1" applyAlignment="1">
      <alignment vertical="top"/>
    </xf>
    <xf numFmtId="0" fontId="24" fillId="24" borderId="10" xfId="45" applyFont="1" applyFill="1" applyBorder="1" applyAlignment="1" applyProtection="1">
      <alignment horizontal="center" vertical="top" wrapText="1"/>
    </xf>
    <xf numFmtId="44" fontId="24" fillId="24" borderId="18" xfId="55" applyNumberFormat="1" applyFont="1" applyFill="1" applyBorder="1" applyAlignment="1" applyProtection="1">
      <alignment horizontal="center" vertical="top"/>
    </xf>
    <xf numFmtId="165" fontId="24" fillId="24" borderId="41" xfId="45" applyNumberFormat="1" applyFont="1" applyFill="1" applyBorder="1" applyAlignment="1">
      <alignment horizontal="center" vertical="top"/>
    </xf>
    <xf numFmtId="1" fontId="24" fillId="0" borderId="10" xfId="45" applyNumberFormat="1" applyFont="1" applyFill="1" applyBorder="1" applyAlignment="1" applyProtection="1">
      <alignment horizontal="right" vertical="top"/>
    </xf>
    <xf numFmtId="2" fontId="24" fillId="0" borderId="16" xfId="45" applyNumberFormat="1" applyFont="1" applyFill="1" applyBorder="1" applyAlignment="1">
      <alignment horizontal="left" vertical="top" wrapText="1"/>
    </xf>
    <xf numFmtId="1" fontId="24" fillId="0" borderId="10" xfId="45" applyNumberFormat="1" applyFont="1" applyFill="1" applyBorder="1" applyAlignment="1">
      <alignment horizontal="center" vertical="top"/>
    </xf>
    <xf numFmtId="41" fontId="24" fillId="0" borderId="10" xfId="45" applyNumberFormat="1" applyFont="1" applyFill="1" applyBorder="1" applyAlignment="1">
      <alignment horizontal="center" vertical="top"/>
    </xf>
    <xf numFmtId="0" fontId="24" fillId="0" borderId="10" xfId="45" applyFont="1" applyFill="1" applyBorder="1" applyAlignment="1">
      <alignment horizontal="center" vertical="top"/>
    </xf>
    <xf numFmtId="44" fontId="24" fillId="32" borderId="18" xfId="55" applyNumberFormat="1" applyFont="1" applyFill="1" applyBorder="1" applyAlignment="1" applyProtection="1">
      <alignment horizontal="center" vertical="top"/>
    </xf>
    <xf numFmtId="0" fontId="24" fillId="24" borderId="10" xfId="45" applyFont="1" applyFill="1" applyBorder="1" applyAlignment="1" applyProtection="1">
      <alignment horizontal="center" vertical="top"/>
    </xf>
    <xf numFmtId="0" fontId="24" fillId="24" borderId="18" xfId="45" applyFont="1" applyFill="1" applyBorder="1" applyAlignment="1" applyProtection="1">
      <alignment horizontal="center" vertical="top" wrapText="1"/>
    </xf>
    <xf numFmtId="41" fontId="24" fillId="24" borderId="45" xfId="45" applyNumberFormat="1" applyFont="1" applyFill="1" applyBorder="1" applyAlignment="1">
      <alignment horizontal="center" vertical="top"/>
    </xf>
    <xf numFmtId="9" fontId="24" fillId="24" borderId="45" xfId="45" applyNumberFormat="1" applyFont="1" applyFill="1" applyBorder="1" applyAlignment="1">
      <alignment horizontal="center" vertical="top"/>
    </xf>
    <xf numFmtId="0" fontId="24" fillId="24" borderId="45" xfId="45" applyFont="1" applyFill="1" applyBorder="1" applyAlignment="1">
      <alignment horizontal="center" vertical="top"/>
    </xf>
    <xf numFmtId="165" fontId="24" fillId="24" borderId="46" xfId="45" applyNumberFormat="1" applyFont="1" applyFill="1" applyBorder="1" applyAlignment="1" applyProtection="1">
      <alignment horizontal="center" vertical="top"/>
    </xf>
    <xf numFmtId="165" fontId="24" fillId="24" borderId="47" xfId="45" applyNumberFormat="1" applyFont="1" applyFill="1" applyBorder="1" applyAlignment="1">
      <alignment horizontal="center" vertical="top"/>
    </xf>
    <xf numFmtId="165" fontId="24" fillId="24" borderId="44" xfId="45" applyNumberFormat="1" applyFont="1" applyFill="1" applyBorder="1" applyAlignment="1">
      <alignment horizontal="center" vertical="top"/>
    </xf>
    <xf numFmtId="2" fontId="25" fillId="0" borderId="10" xfId="45" applyNumberFormat="1" applyFont="1" applyFill="1" applyBorder="1" applyAlignment="1">
      <alignment horizontal="right" vertical="top" wrapText="1"/>
    </xf>
    <xf numFmtId="9" fontId="24" fillId="0" borderId="16" xfId="45" applyNumberFormat="1" applyFont="1" applyFill="1" applyBorder="1" applyAlignment="1">
      <alignment horizontal="center" vertical="top"/>
    </xf>
    <xf numFmtId="165" fontId="24" fillId="0" borderId="18" xfId="45" applyNumberFormat="1" applyFont="1" applyFill="1" applyBorder="1" applyAlignment="1" applyProtection="1">
      <alignment horizontal="center" vertical="top"/>
    </xf>
    <xf numFmtId="165" fontId="25" fillId="0" borderId="41" xfId="55" applyNumberFormat="1" applyFont="1" applyFill="1" applyBorder="1" applyAlignment="1">
      <alignment horizontal="center" vertical="top"/>
    </xf>
    <xf numFmtId="165" fontId="25" fillId="0" borderId="40" xfId="55" applyNumberFormat="1" applyFont="1" applyFill="1" applyBorder="1" applyAlignment="1">
      <alignment horizontal="center" vertical="top"/>
    </xf>
    <xf numFmtId="2" fontId="24" fillId="0" borderId="10" xfId="45" applyNumberFormat="1" applyFont="1" applyFill="1" applyBorder="1" applyAlignment="1">
      <alignment horizontal="left" vertical="top" wrapText="1"/>
    </xf>
    <xf numFmtId="1" fontId="24" fillId="0" borderId="16" xfId="45" applyNumberFormat="1" applyFont="1" applyFill="1" applyBorder="1" applyAlignment="1">
      <alignment horizontal="center" vertical="top"/>
    </xf>
    <xf numFmtId="9" fontId="24" fillId="24" borderId="10" xfId="45" applyNumberFormat="1" applyFont="1" applyFill="1" applyBorder="1" applyAlignment="1">
      <alignment horizontal="center" vertical="top"/>
    </xf>
    <xf numFmtId="0" fontId="24" fillId="0" borderId="0" xfId="45" applyFont="1" applyBorder="1" applyAlignment="1">
      <alignment vertical="top"/>
    </xf>
    <xf numFmtId="0" fontId="24" fillId="0" borderId="13" xfId="45" applyFont="1" applyBorder="1" applyAlignment="1">
      <alignment horizontal="center" vertical="top"/>
    </xf>
    <xf numFmtId="0" fontId="24" fillId="0" borderId="0" xfId="45" applyFont="1" applyBorder="1" applyAlignment="1">
      <alignment horizontal="center" vertical="top"/>
    </xf>
    <xf numFmtId="2" fontId="24" fillId="0" borderId="0" xfId="45" applyNumberFormat="1" applyFont="1" applyBorder="1" applyAlignment="1">
      <alignment horizontal="left" vertical="top" wrapText="1"/>
    </xf>
    <xf numFmtId="1" fontId="24" fillId="0" borderId="0" xfId="45" applyNumberFormat="1" applyFont="1" applyBorder="1" applyAlignment="1">
      <alignment horizontal="center" vertical="top" wrapText="1"/>
    </xf>
    <xf numFmtId="2" fontId="24" fillId="0" borderId="0" xfId="45" applyNumberFormat="1" applyFont="1" applyBorder="1" applyAlignment="1">
      <alignment horizontal="center" vertical="top" wrapText="1"/>
    </xf>
    <xf numFmtId="44" fontId="24" fillId="0" borderId="0" xfId="55" applyFont="1" applyBorder="1" applyAlignment="1">
      <alignment horizontal="center" vertical="top"/>
    </xf>
    <xf numFmtId="164" fontId="24" fillId="0" borderId="0" xfId="45" applyNumberFormat="1" applyFont="1" applyBorder="1" applyAlignment="1">
      <alignment vertical="top"/>
    </xf>
    <xf numFmtId="1" fontId="24" fillId="24" borderId="10" xfId="0" applyNumberFormat="1" applyFont="1" applyFill="1" applyBorder="1" applyAlignment="1" applyProtection="1">
      <alignment horizontal="right" vertical="top"/>
    </xf>
    <xf numFmtId="2" fontId="32" fillId="0" borderId="16" xfId="45" applyNumberFormat="1" applyFont="1" applyFill="1" applyBorder="1" applyAlignment="1">
      <alignment horizontal="left" vertical="top" wrapText="1"/>
    </xf>
    <xf numFmtId="2" fontId="39" fillId="24" borderId="0" xfId="45" applyNumberFormat="1" applyFont="1" applyFill="1" applyBorder="1" applyAlignment="1">
      <alignment horizontal="left" vertical="top"/>
    </xf>
    <xf numFmtId="0" fontId="39" fillId="24" borderId="0" xfId="45" applyFont="1" applyFill="1" applyBorder="1" applyAlignment="1">
      <alignment vertical="top"/>
    </xf>
    <xf numFmtId="14" fontId="28" fillId="24" borderId="0" xfId="45" applyNumberFormat="1" applyFont="1" applyFill="1" applyBorder="1" applyAlignment="1">
      <alignment vertical="top"/>
    </xf>
    <xf numFmtId="0" fontId="4" fillId="24" borderId="0" xfId="45" applyFill="1"/>
    <xf numFmtId="49" fontId="40" fillId="0" borderId="11" xfId="45" applyNumberFormat="1" applyFont="1" applyBorder="1" applyAlignment="1">
      <alignment horizontal="center" vertical="top" wrapText="1"/>
    </xf>
    <xf numFmtId="2" fontId="24" fillId="0" borderId="12" xfId="45" applyNumberFormat="1" applyFont="1" applyFill="1" applyBorder="1" applyAlignment="1">
      <alignment horizontal="left" vertical="top"/>
    </xf>
    <xf numFmtId="2" fontId="24" fillId="0" borderId="12" xfId="45" applyNumberFormat="1" applyFont="1" applyFill="1" applyBorder="1" applyAlignment="1">
      <alignment horizontal="left" vertical="top" wrapText="1"/>
    </xf>
    <xf numFmtId="166" fontId="41" fillId="24" borderId="23" xfId="45" applyNumberFormat="1" applyFont="1" applyFill="1" applyBorder="1" applyAlignment="1" applyProtection="1">
      <alignment horizontal="left" vertical="top"/>
    </xf>
    <xf numFmtId="0" fontId="41" fillId="0" borderId="12" xfId="45" applyFont="1" applyBorder="1" applyAlignment="1">
      <alignment vertical="top" wrapText="1"/>
    </xf>
  </cellXfs>
  <cellStyles count="5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2" xfId="46"/>
    <cellStyle name="Comma 2 2" xfId="48"/>
    <cellStyle name="Currency" xfId="56" builtinId="4"/>
    <cellStyle name="Currency 2" xfId="50"/>
    <cellStyle name="Currency 3" xfId="55"/>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54" builtinId="8"/>
    <cellStyle name="Input" xfId="34" builtinId="20" customBuiltin="1"/>
    <cellStyle name="Linked Cell" xfId="35" builtinId="24" customBuiltin="1"/>
    <cellStyle name="Neutral" xfId="36" builtinId="28" customBuiltin="1"/>
    <cellStyle name="Normal" xfId="0" builtinId="0"/>
    <cellStyle name="Normal 2" xfId="44"/>
    <cellStyle name="Normal 2 2" xfId="47"/>
    <cellStyle name="Normal 2 3" xfId="45"/>
    <cellStyle name="Normal 2 3 2" xfId="52"/>
    <cellStyle name="Normal 3" xfId="37"/>
    <cellStyle name="Normal 4" xfId="43"/>
    <cellStyle name="Normal 4 2" xfId="53"/>
    <cellStyle name="Normal 4 3" xfId="51"/>
    <cellStyle name="Normal 5" xfId="49"/>
    <cellStyle name="Note" xfId="38" builtinId="10" customBuiltin="1"/>
    <cellStyle name="Output" xfId="39" builtinId="21" customBuiltin="1"/>
    <cellStyle name="Percent" xfId="57" builtinId="5"/>
    <cellStyle name="Percent 2" xfId="58"/>
    <cellStyle name="Title" xfId="40" builtinId="15" customBuiltin="1"/>
    <cellStyle name="Total" xfId="41" builtinId="25" customBuiltin="1"/>
    <cellStyle name="Warning Text" xfId="42" builtinId="11" customBuiltin="1"/>
  </cellStyles>
  <dxfs count="0"/>
  <tableStyles count="0" defaultTableStyle="TableStyleMedium9" defaultPivotStyle="PivotStyleLight16"/>
  <colors>
    <mruColors>
      <color rgb="FFF55D61"/>
      <color rgb="FFFED2DC"/>
      <color rgb="FFD5D5D5"/>
      <color rgb="FFB94517"/>
      <color rgb="FFFE9494"/>
      <color rgb="FFF3F3F3"/>
      <color rgb="FFF50101"/>
      <color rgb="FFCE2008"/>
      <color rgb="FFFF512C"/>
      <color rgb="FFDE796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O23"/>
  <sheetViews>
    <sheetView showGridLines="0" tabSelected="1" view="pageBreakPreview" zoomScaleNormal="100" zoomScaleSheetLayoutView="100" workbookViewId="0">
      <selection activeCell="C31" sqref="C31"/>
    </sheetView>
  </sheetViews>
  <sheetFormatPr defaultRowHeight="15" x14ac:dyDescent="0.2"/>
  <cols>
    <col min="1" max="1" width="8.88671875" style="144"/>
    <col min="2" max="2" width="24.44140625" style="144" customWidth="1"/>
    <col min="3" max="3" width="25.5546875" style="144" customWidth="1"/>
    <col min="4" max="4" width="6" style="144" customWidth="1"/>
    <col min="5" max="5" width="25.109375" style="144" customWidth="1"/>
    <col min="6" max="6" width="8.88671875" style="144"/>
    <col min="7" max="8" width="12.109375" style="144" bestFit="1" customWidth="1"/>
    <col min="9" max="16384" width="8.88671875" style="144"/>
  </cols>
  <sheetData>
    <row r="1" spans="1:15" ht="15.75" x14ac:dyDescent="0.2">
      <c r="A1" s="140"/>
      <c r="B1" s="141"/>
      <c r="C1" s="142"/>
      <c r="D1" s="142"/>
      <c r="E1" s="142"/>
      <c r="F1" s="143"/>
    </row>
    <row r="2" spans="1:15" ht="15.75" x14ac:dyDescent="0.2">
      <c r="A2" s="145"/>
      <c r="B2" s="146"/>
      <c r="C2" s="147"/>
      <c r="D2" s="147"/>
      <c r="E2" s="147"/>
      <c r="F2" s="76"/>
    </row>
    <row r="3" spans="1:15" ht="18" customHeight="1" x14ac:dyDescent="0.2">
      <c r="A3" s="145"/>
      <c r="B3" s="146"/>
      <c r="C3" s="147"/>
      <c r="D3" s="147"/>
      <c r="E3" s="147"/>
      <c r="F3" s="76"/>
    </row>
    <row r="4" spans="1:15" ht="16.5" thickBot="1" x14ac:dyDescent="0.25">
      <c r="A4" s="148"/>
      <c r="B4" s="149"/>
      <c r="C4" s="66"/>
      <c r="D4" s="66"/>
      <c r="E4" s="66"/>
      <c r="F4" s="76"/>
      <c r="G4" s="150"/>
      <c r="H4" s="151"/>
      <c r="I4" s="151"/>
      <c r="J4" s="149"/>
      <c r="K4" s="149"/>
      <c r="L4" s="149"/>
      <c r="M4" s="149"/>
    </row>
    <row r="5" spans="1:15" ht="15.75" x14ac:dyDescent="0.2">
      <c r="A5" s="148"/>
      <c r="B5" s="152" t="s">
        <v>6</v>
      </c>
      <c r="C5" s="153" t="s">
        <v>227</v>
      </c>
      <c r="D5" s="153"/>
      <c r="E5" s="154"/>
      <c r="F5" s="155"/>
      <c r="G5" s="149"/>
      <c r="H5" s="149"/>
      <c r="I5" s="149"/>
      <c r="J5" s="149"/>
      <c r="K5" s="67"/>
      <c r="L5" s="67"/>
      <c r="M5" s="67"/>
      <c r="N5" s="67"/>
      <c r="O5" s="67"/>
    </row>
    <row r="6" spans="1:15" ht="16.5" thickBot="1" x14ac:dyDescent="0.25">
      <c r="A6" s="156"/>
      <c r="B6" s="157" t="s">
        <v>7</v>
      </c>
      <c r="C6" s="158" t="s">
        <v>227</v>
      </c>
      <c r="D6" s="158"/>
      <c r="E6" s="159"/>
      <c r="F6" s="160"/>
      <c r="G6" s="149"/>
      <c r="H6" s="149"/>
      <c r="I6" s="149"/>
      <c r="J6" s="149"/>
      <c r="K6" s="67"/>
      <c r="L6" s="67"/>
      <c r="M6" s="67"/>
      <c r="N6" s="67"/>
      <c r="O6" s="67"/>
    </row>
    <row r="7" spans="1:15" s="235" customFormat="1" ht="16.5" thickBot="1" x14ac:dyDescent="0.25">
      <c r="A7" s="156"/>
      <c r="B7" s="232"/>
      <c r="C7" s="233"/>
      <c r="D7" s="233"/>
      <c r="E7" s="234"/>
      <c r="F7" s="160"/>
      <c r="G7" s="149"/>
      <c r="H7" s="149"/>
      <c r="I7" s="149"/>
      <c r="J7" s="149"/>
      <c r="K7" s="67"/>
      <c r="L7" s="67"/>
      <c r="M7" s="67"/>
      <c r="N7" s="67"/>
      <c r="O7" s="67"/>
    </row>
    <row r="8" spans="1:15" ht="18" customHeight="1" thickBot="1" x14ac:dyDescent="0.25">
      <c r="A8" s="145"/>
      <c r="B8" s="168" t="s">
        <v>236</v>
      </c>
      <c r="C8" s="147"/>
      <c r="D8" s="147"/>
      <c r="E8" s="147"/>
      <c r="F8" s="76"/>
    </row>
    <row r="9" spans="1:15" ht="15.75" x14ac:dyDescent="0.2">
      <c r="A9" s="156"/>
      <c r="B9" s="236"/>
      <c r="C9" s="237" t="s">
        <v>152</v>
      </c>
      <c r="D9" s="238"/>
      <c r="E9" s="239">
        <v>0</v>
      </c>
      <c r="F9" s="155"/>
      <c r="G9" s="149"/>
      <c r="H9" s="149"/>
      <c r="I9" s="149"/>
      <c r="J9" s="149"/>
      <c r="K9" s="67"/>
      <c r="L9" s="67"/>
      <c r="M9" s="67"/>
      <c r="N9" s="67"/>
      <c r="O9" s="67"/>
    </row>
    <row r="10" spans="1:15" ht="15.75" x14ac:dyDescent="0.2">
      <c r="A10" s="156"/>
      <c r="B10" s="161"/>
      <c r="C10" s="162" t="s">
        <v>153</v>
      </c>
      <c r="D10" s="162"/>
      <c r="E10" s="170">
        <v>0</v>
      </c>
      <c r="F10" s="155"/>
      <c r="G10" s="149"/>
      <c r="H10" s="149"/>
      <c r="I10" s="149"/>
      <c r="J10" s="149"/>
      <c r="K10" s="67"/>
      <c r="L10" s="67"/>
      <c r="M10" s="67"/>
      <c r="N10" s="67"/>
      <c r="O10" s="67"/>
    </row>
    <row r="11" spans="1:15" ht="16.5" thickBot="1" x14ac:dyDescent="0.25">
      <c r="A11" s="156"/>
      <c r="B11" s="163" t="s">
        <v>237</v>
      </c>
      <c r="C11" s="164"/>
      <c r="D11" s="164"/>
      <c r="E11" s="165">
        <f>SUM(E9:E10)</f>
        <v>0</v>
      </c>
      <c r="F11" s="160"/>
      <c r="G11" s="149"/>
      <c r="H11" s="149"/>
      <c r="I11" s="149"/>
      <c r="J11" s="149"/>
      <c r="K11" s="67"/>
      <c r="L11" s="67"/>
      <c r="M11" s="67"/>
      <c r="N11" s="67"/>
      <c r="O11" s="67"/>
    </row>
    <row r="12" spans="1:15" ht="16.5" thickBot="1" x14ac:dyDescent="0.25">
      <c r="A12" s="145"/>
      <c r="B12" s="166"/>
      <c r="C12" s="146"/>
      <c r="D12" s="146"/>
      <c r="E12" s="146"/>
      <c r="F12" s="167"/>
    </row>
    <row r="13" spans="1:15" ht="16.5" thickBot="1" x14ac:dyDescent="0.25">
      <c r="A13" s="148"/>
      <c r="B13" s="168" t="s">
        <v>239</v>
      </c>
      <c r="C13" s="146"/>
      <c r="D13" s="146"/>
      <c r="E13" s="146"/>
      <c r="F13" s="155"/>
      <c r="G13" s="149"/>
      <c r="H13" s="149"/>
      <c r="I13" s="149"/>
      <c r="J13" s="149"/>
      <c r="K13" s="67"/>
      <c r="L13" s="67"/>
      <c r="M13" s="67"/>
      <c r="N13" s="67"/>
      <c r="O13" s="67"/>
    </row>
    <row r="14" spans="1:15" ht="15.75" x14ac:dyDescent="0.2">
      <c r="A14" s="156"/>
      <c r="B14" s="236"/>
      <c r="C14" s="240" t="s">
        <v>155</v>
      </c>
      <c r="D14" s="240"/>
      <c r="E14" s="239">
        <f>'STRUCTURAL STEEL'!C$5</f>
        <v>0</v>
      </c>
      <c r="F14" s="155"/>
      <c r="G14" s="171"/>
      <c r="H14" s="171"/>
      <c r="I14" s="149"/>
      <c r="J14" s="149"/>
      <c r="K14" s="67"/>
      <c r="L14" s="67"/>
      <c r="M14" s="67"/>
      <c r="N14" s="67"/>
      <c r="O14" s="67"/>
    </row>
    <row r="15" spans="1:15" ht="15.75" x14ac:dyDescent="0.2">
      <c r="A15" s="156"/>
      <c r="B15" s="161"/>
      <c r="C15" s="169" t="s">
        <v>235</v>
      </c>
      <c r="D15" s="169"/>
      <c r="E15" s="170">
        <f>'MISC. STEEL'!C$5</f>
        <v>0</v>
      </c>
      <c r="F15" s="155"/>
      <c r="G15" s="171"/>
      <c r="H15" s="171"/>
      <c r="I15" s="149"/>
      <c r="J15" s="149"/>
      <c r="K15" s="67"/>
      <c r="L15" s="67"/>
      <c r="M15" s="67"/>
      <c r="N15" s="67"/>
      <c r="O15" s="67"/>
    </row>
    <row r="16" spans="1:15" ht="15.75" x14ac:dyDescent="0.2">
      <c r="A16" s="156"/>
      <c r="B16" s="161"/>
      <c r="C16" s="169"/>
      <c r="D16" s="169"/>
      <c r="E16" s="170"/>
      <c r="F16" s="155"/>
      <c r="G16" s="172"/>
      <c r="H16" s="149"/>
      <c r="I16" s="149"/>
      <c r="J16" s="149"/>
      <c r="K16" s="67"/>
      <c r="L16" s="67"/>
      <c r="M16" s="67"/>
      <c r="N16" s="67"/>
      <c r="O16" s="67"/>
    </row>
    <row r="17" spans="1:15" ht="16.5" thickBot="1" x14ac:dyDescent="0.25">
      <c r="A17" s="156"/>
      <c r="B17" s="163" t="s">
        <v>238</v>
      </c>
      <c r="C17" s="164"/>
      <c r="D17" s="164"/>
      <c r="E17" s="165">
        <f>SUM(E14:E16)</f>
        <v>0</v>
      </c>
      <c r="F17" s="160"/>
      <c r="G17" s="149"/>
      <c r="H17" s="149"/>
      <c r="I17" s="149"/>
      <c r="J17" s="149"/>
      <c r="K17" s="67"/>
      <c r="L17" s="67"/>
      <c r="M17" s="67"/>
      <c r="N17" s="67"/>
      <c r="O17" s="67"/>
    </row>
    <row r="18" spans="1:15" s="146" customFormat="1" ht="16.5" thickBot="1" x14ac:dyDescent="0.25">
      <c r="A18" s="145"/>
      <c r="B18" s="166"/>
      <c r="F18" s="167"/>
    </row>
    <row r="19" spans="1:15" ht="16.5" thickBot="1" x14ac:dyDescent="0.25">
      <c r="A19" s="145"/>
      <c r="B19" s="173" t="s">
        <v>240</v>
      </c>
      <c r="C19" s="174"/>
      <c r="D19" s="174"/>
      <c r="E19" s="175">
        <f>E17+E11</f>
        <v>0</v>
      </c>
      <c r="F19" s="167"/>
      <c r="G19" s="176"/>
    </row>
    <row r="20" spans="1:15" ht="15.75" x14ac:dyDescent="0.2">
      <c r="A20" s="145"/>
      <c r="B20" s="166"/>
      <c r="C20" s="146"/>
      <c r="D20" s="146"/>
      <c r="E20" s="146"/>
      <c r="F20" s="167"/>
    </row>
    <row r="21" spans="1:15" ht="15.75" x14ac:dyDescent="0.2">
      <c r="A21" s="145"/>
      <c r="B21" s="166"/>
      <c r="C21" s="146"/>
      <c r="D21" s="146"/>
      <c r="E21" s="146"/>
      <c r="F21" s="167"/>
    </row>
    <row r="22" spans="1:15" ht="15.75" x14ac:dyDescent="0.2">
      <c r="A22" s="145"/>
      <c r="B22" s="166"/>
      <c r="C22" s="146"/>
      <c r="D22" s="146"/>
      <c r="E22" s="146"/>
      <c r="F22" s="167"/>
    </row>
    <row r="23" spans="1:15" ht="15.75" thickBot="1" x14ac:dyDescent="0.25">
      <c r="A23" s="177"/>
      <c r="B23" s="178"/>
      <c r="C23" s="179"/>
      <c r="D23" s="179"/>
      <c r="E23" s="180" t="s">
        <v>154</v>
      </c>
      <c r="F23" s="181"/>
    </row>
  </sheetData>
  <printOptions horizontalCentered="1" verticalCentered="1"/>
  <pageMargins left="1" right="1" top="1" bottom="1" header="0.5" footer="0.5"/>
  <pageSetup paperSize="9" orientation="landscape" r:id="rId1"/>
  <headerFooter>
    <oddFooter xml:space="preserve">&amp;C&amp;P of &amp;N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M240"/>
  <sheetViews>
    <sheetView showGridLines="0" view="pageBreakPreview" zoomScale="90" zoomScaleNormal="90" zoomScaleSheetLayoutView="90" workbookViewId="0">
      <pane ySplit="6" topLeftCell="A7" activePane="bottomLeft" state="frozen"/>
      <selection pane="bottomLeft" activeCell="A7" sqref="A7"/>
    </sheetView>
  </sheetViews>
  <sheetFormatPr defaultColWidth="9.6640625" defaultRowHeight="15.75" x14ac:dyDescent="0.2"/>
  <cols>
    <col min="1" max="1" width="5.33203125" style="3" customWidth="1"/>
    <col min="2" max="2" width="11.88671875" style="5" customWidth="1"/>
    <col min="3" max="3" width="13" style="5" customWidth="1"/>
    <col min="4" max="4" width="7.33203125" style="5" customWidth="1"/>
    <col min="5" max="5" width="58.88671875" style="10" customWidth="1"/>
    <col min="6" max="6" width="8.109375" style="18" customWidth="1"/>
    <col min="7" max="7" width="8.109375" style="6" customWidth="1"/>
    <col min="8" max="8" width="7.88671875" style="6" customWidth="1"/>
    <col min="9" max="9" width="7.109375" style="5" customWidth="1"/>
    <col min="10" max="10" width="10.109375" style="53" customWidth="1"/>
    <col min="11" max="11" width="11.44140625" style="7" customWidth="1"/>
    <col min="12" max="12" width="11.6640625" style="13" customWidth="1"/>
    <col min="13" max="13" width="9.6640625" style="83"/>
    <col min="14" max="16384" width="9.6640625" style="4"/>
  </cols>
  <sheetData>
    <row r="1" spans="1:13" s="43" customFormat="1" x14ac:dyDescent="0.2">
      <c r="A1" s="56" t="s">
        <v>6</v>
      </c>
      <c r="B1" s="57"/>
      <c r="C1" s="55" t="s">
        <v>227</v>
      </c>
      <c r="D1" s="55"/>
      <c r="E1" s="86"/>
      <c r="F1" s="58"/>
      <c r="G1" s="58"/>
      <c r="H1" s="58"/>
      <c r="I1" s="58"/>
      <c r="J1" s="59"/>
      <c r="K1" s="58"/>
      <c r="L1" s="60"/>
      <c r="M1" s="78"/>
    </row>
    <row r="2" spans="1:13" s="1" customFormat="1" x14ac:dyDescent="0.2">
      <c r="A2" s="14" t="s">
        <v>7</v>
      </c>
      <c r="B2" s="15"/>
      <c r="C2" s="21" t="s">
        <v>227</v>
      </c>
      <c r="D2" s="70"/>
      <c r="E2" s="87"/>
      <c r="F2" s="13"/>
      <c r="G2" s="12"/>
      <c r="H2" s="12"/>
      <c r="I2" s="12"/>
      <c r="J2" s="74"/>
      <c r="K2" s="75"/>
      <c r="L2" s="76"/>
      <c r="M2" s="79"/>
    </row>
    <row r="3" spans="1:13" s="1" customFormat="1" x14ac:dyDescent="0.2">
      <c r="A3" s="16" t="s">
        <v>8</v>
      </c>
      <c r="B3" s="15"/>
      <c r="C3" s="22">
        <v>44900</v>
      </c>
      <c r="D3" s="22"/>
      <c r="E3" s="87"/>
      <c r="F3" s="13"/>
      <c r="G3" s="12"/>
      <c r="H3" s="12"/>
      <c r="I3" s="12"/>
      <c r="J3" s="134"/>
      <c r="K3" s="77"/>
      <c r="L3" s="76"/>
      <c r="M3" s="79"/>
    </row>
    <row r="4" spans="1:13" s="1" customFormat="1" x14ac:dyDescent="0.2">
      <c r="A4" s="16" t="s">
        <v>9</v>
      </c>
      <c r="B4" s="15"/>
      <c r="C4" s="22">
        <v>44848</v>
      </c>
      <c r="D4" s="22"/>
      <c r="E4" s="13"/>
      <c r="F4" s="13"/>
      <c r="G4" s="12"/>
      <c r="H4" s="12"/>
      <c r="I4" s="12"/>
      <c r="J4" s="134"/>
      <c r="K4" s="77"/>
      <c r="L4" s="76"/>
      <c r="M4" s="79"/>
    </row>
    <row r="5" spans="1:13" s="1" customFormat="1" ht="16.5" thickBot="1" x14ac:dyDescent="0.25">
      <c r="A5" s="93" t="s">
        <v>155</v>
      </c>
      <c r="B5" s="94"/>
      <c r="C5" s="95">
        <f>L$237</f>
        <v>0</v>
      </c>
      <c r="D5" s="95"/>
      <c r="E5" s="13"/>
      <c r="F5" s="13"/>
      <c r="G5" s="96"/>
      <c r="H5" s="96"/>
      <c r="I5" s="96"/>
      <c r="J5" s="134"/>
      <c r="K5" s="66"/>
      <c r="L5" s="76"/>
      <c r="M5" s="79"/>
    </row>
    <row r="6" spans="1:13" s="8" customFormat="1" ht="35.25" customHeight="1" thickBot="1" x14ac:dyDescent="0.25">
      <c r="A6" s="103" t="s">
        <v>10</v>
      </c>
      <c r="B6" s="104" t="s">
        <v>14</v>
      </c>
      <c r="C6" s="104" t="s">
        <v>15</v>
      </c>
      <c r="D6" s="104"/>
      <c r="E6" s="104" t="s">
        <v>1</v>
      </c>
      <c r="F6" s="104" t="s">
        <v>16</v>
      </c>
      <c r="G6" s="104" t="s">
        <v>3</v>
      </c>
      <c r="H6" s="104" t="s">
        <v>4</v>
      </c>
      <c r="I6" s="104" t="s">
        <v>0</v>
      </c>
      <c r="J6" s="105" t="s">
        <v>2</v>
      </c>
      <c r="K6" s="106" t="s">
        <v>5</v>
      </c>
      <c r="L6" s="107" t="s">
        <v>11</v>
      </c>
      <c r="M6" s="80"/>
    </row>
    <row r="7" spans="1:13" s="9" customFormat="1" ht="16.5" thickBot="1" x14ac:dyDescent="0.25">
      <c r="A7" s="97" t="str">
        <f>IF(F7&lt;&gt;"",1+MAX($A$6:A6),"")</f>
        <v/>
      </c>
      <c r="B7" s="98"/>
      <c r="C7" s="99"/>
      <c r="D7" s="99" t="s">
        <v>18</v>
      </c>
      <c r="E7" s="100" t="s">
        <v>19</v>
      </c>
      <c r="F7" s="101"/>
      <c r="G7" s="102"/>
      <c r="H7" s="102"/>
      <c r="I7" s="102"/>
      <c r="J7" s="135"/>
      <c r="K7" s="102"/>
      <c r="L7" s="63"/>
    </row>
    <row r="8" spans="1:13" s="1" customFormat="1" ht="16.5" thickBot="1" x14ac:dyDescent="0.25">
      <c r="A8" s="17"/>
      <c r="B8" s="45"/>
      <c r="C8" s="46"/>
      <c r="D8" s="47"/>
      <c r="E8" s="71" t="s">
        <v>32</v>
      </c>
      <c r="F8" s="68"/>
      <c r="G8" s="61"/>
      <c r="H8" s="29"/>
      <c r="I8" s="30"/>
      <c r="J8" s="51"/>
      <c r="K8" s="27"/>
      <c r="L8" s="63"/>
      <c r="M8" s="79"/>
    </row>
    <row r="9" spans="1:13" s="44" customFormat="1" x14ac:dyDescent="0.2">
      <c r="A9" s="17" t="str">
        <f>IF(F9&lt;&gt;"",1+MAX($A$6:A8),"")</f>
        <v/>
      </c>
      <c r="B9" s="2"/>
      <c r="C9" s="2"/>
      <c r="D9" s="39"/>
      <c r="E9" s="69" t="s">
        <v>229</v>
      </c>
      <c r="F9" s="34"/>
      <c r="G9" s="38"/>
      <c r="H9" s="35"/>
      <c r="I9" s="36"/>
      <c r="J9" s="52"/>
      <c r="K9" s="42"/>
      <c r="L9" s="63"/>
      <c r="M9" s="81"/>
    </row>
    <row r="10" spans="1:13" s="44" customFormat="1" ht="47.25" x14ac:dyDescent="0.2">
      <c r="A10" s="17">
        <f>IF(F10&lt;&gt;"",1+MAX($A$6:A9),"")</f>
        <v>1</v>
      </c>
      <c r="B10" s="2" t="s">
        <v>23</v>
      </c>
      <c r="C10" s="2" t="s">
        <v>24</v>
      </c>
      <c r="D10" s="39"/>
      <c r="E10" s="40" t="s">
        <v>228</v>
      </c>
      <c r="F10" s="34">
        <f>(4*18.75+3*19.083+2*23.75)*27.48</f>
        <v>4939.50252</v>
      </c>
      <c r="G10" s="38">
        <v>0.05</v>
      </c>
      <c r="H10" s="35">
        <f>F10*(1+G10)</f>
        <v>5186.4776460000003</v>
      </c>
      <c r="I10" s="36" t="s">
        <v>21</v>
      </c>
      <c r="J10" s="133">
        <v>0</v>
      </c>
      <c r="K10" s="42">
        <f>J10*H10</f>
        <v>0</v>
      </c>
      <c r="L10" s="63"/>
      <c r="M10" s="81"/>
    </row>
    <row r="11" spans="1:13" s="1" customFormat="1" ht="47.25" x14ac:dyDescent="0.2">
      <c r="A11" s="17">
        <f>IF(F11&lt;&gt;"",1+MAX($A$6:A10),"")</f>
        <v>2</v>
      </c>
      <c r="B11" s="2" t="s">
        <v>23</v>
      </c>
      <c r="C11" s="2" t="s">
        <v>24</v>
      </c>
      <c r="D11" s="24"/>
      <c r="E11" s="40" t="s">
        <v>230</v>
      </c>
      <c r="F11" s="34">
        <f>(7*18.75+4*19.083)*50.81</f>
        <v>10547.24142</v>
      </c>
      <c r="G11" s="38">
        <v>0.05</v>
      </c>
      <c r="H11" s="35">
        <f t="shared" ref="H11:H18" si="0">F11*(1+G11)</f>
        <v>11074.603491000002</v>
      </c>
      <c r="I11" s="36" t="s">
        <v>21</v>
      </c>
      <c r="J11" s="52">
        <f t="shared" ref="J11:J18" si="1">J$10</f>
        <v>0</v>
      </c>
      <c r="K11" s="42">
        <f t="shared" ref="K11:K18" si="2">J11*H11</f>
        <v>0</v>
      </c>
      <c r="L11" s="63"/>
      <c r="M11" s="79"/>
    </row>
    <row r="12" spans="1:13" s="1" customFormat="1" ht="47.25" x14ac:dyDescent="0.2">
      <c r="A12" s="17">
        <f>IF(F12&lt;&gt;"",1+MAX($A$6:A11),"")</f>
        <v>3</v>
      </c>
      <c r="B12" s="2" t="s">
        <v>23</v>
      </c>
      <c r="C12" s="2" t="s">
        <v>24</v>
      </c>
      <c r="D12" s="24"/>
      <c r="E12" s="40" t="s">
        <v>232</v>
      </c>
      <c r="F12" s="34">
        <f>(10*18.75)*37.69</f>
        <v>7066.875</v>
      </c>
      <c r="G12" s="38">
        <v>0.05</v>
      </c>
      <c r="H12" s="35">
        <f t="shared" si="0"/>
        <v>7420.21875</v>
      </c>
      <c r="I12" s="36" t="s">
        <v>21</v>
      </c>
      <c r="J12" s="52">
        <f t="shared" si="1"/>
        <v>0</v>
      </c>
      <c r="K12" s="42">
        <f t="shared" si="2"/>
        <v>0</v>
      </c>
      <c r="L12" s="63"/>
      <c r="M12" s="79"/>
    </row>
    <row r="13" spans="1:13" s="1" customFormat="1" ht="47.25" x14ac:dyDescent="0.2">
      <c r="A13" s="17">
        <f>IF(F13&lt;&gt;"",1+MAX($A$6:A12),"")</f>
        <v>4</v>
      </c>
      <c r="B13" s="2" t="s">
        <v>23</v>
      </c>
      <c r="C13" s="2" t="s">
        <v>24</v>
      </c>
      <c r="D13" s="24"/>
      <c r="E13" s="40" t="s">
        <v>231</v>
      </c>
      <c r="F13" s="34">
        <f>(3*19.083)*76.07</f>
        <v>4354.9314299999996</v>
      </c>
      <c r="G13" s="38">
        <v>0.05</v>
      </c>
      <c r="H13" s="35">
        <f t="shared" si="0"/>
        <v>4572.6780014999995</v>
      </c>
      <c r="I13" s="36" t="s">
        <v>21</v>
      </c>
      <c r="J13" s="52">
        <f t="shared" si="1"/>
        <v>0</v>
      </c>
      <c r="K13" s="42">
        <f t="shared" si="2"/>
        <v>0</v>
      </c>
      <c r="L13" s="63"/>
      <c r="M13" s="79"/>
    </row>
    <row r="14" spans="1:13" s="1" customFormat="1" ht="47.25" x14ac:dyDescent="0.2">
      <c r="A14" s="17">
        <f>IF(F14&lt;&gt;"",1+MAX($A$6:A13),"")</f>
        <v>5</v>
      </c>
      <c r="B14" s="2" t="s">
        <v>23</v>
      </c>
      <c r="C14" s="2" t="s">
        <v>24</v>
      </c>
      <c r="D14" s="24"/>
      <c r="E14" s="40" t="s">
        <v>233</v>
      </c>
      <c r="F14" s="34">
        <f>(2*19.083*72)</f>
        <v>2747.9519999999998</v>
      </c>
      <c r="G14" s="38">
        <v>0.05</v>
      </c>
      <c r="H14" s="35">
        <f t="shared" si="0"/>
        <v>2885.3496</v>
      </c>
      <c r="I14" s="36" t="s">
        <v>21</v>
      </c>
      <c r="J14" s="52">
        <f t="shared" si="1"/>
        <v>0</v>
      </c>
      <c r="K14" s="42">
        <f t="shared" si="2"/>
        <v>0</v>
      </c>
      <c r="L14" s="63"/>
      <c r="M14" s="79"/>
    </row>
    <row r="15" spans="1:13" s="1" customFormat="1" ht="47.25" x14ac:dyDescent="0.2">
      <c r="A15" s="17">
        <f>IF(F15&lt;&gt;"",1+MAX($A$6:A14),"")</f>
        <v>6</v>
      </c>
      <c r="B15" s="2" t="s">
        <v>23</v>
      </c>
      <c r="C15" s="2" t="s">
        <v>24</v>
      </c>
      <c r="D15" s="24"/>
      <c r="E15" s="40" t="s">
        <v>241</v>
      </c>
      <c r="F15" s="34">
        <f>1*23.75*25.82</f>
        <v>613.22500000000002</v>
      </c>
      <c r="G15" s="38">
        <v>0.05</v>
      </c>
      <c r="H15" s="35">
        <f t="shared" si="0"/>
        <v>643.88625000000002</v>
      </c>
      <c r="I15" s="36" t="s">
        <v>21</v>
      </c>
      <c r="J15" s="52">
        <f t="shared" si="1"/>
        <v>0</v>
      </c>
      <c r="K15" s="42">
        <f t="shared" si="2"/>
        <v>0</v>
      </c>
      <c r="L15" s="63"/>
      <c r="M15" s="79"/>
    </row>
    <row r="16" spans="1:13" s="1" customFormat="1" ht="47.25" x14ac:dyDescent="0.2">
      <c r="A16" s="17">
        <f>IF(F16&lt;&gt;"",1+MAX($A$6:A15),"")</f>
        <v>7</v>
      </c>
      <c r="B16" s="2" t="s">
        <v>23</v>
      </c>
      <c r="C16" s="2" t="s">
        <v>24</v>
      </c>
      <c r="D16" s="24"/>
      <c r="E16" s="84" t="s">
        <v>242</v>
      </c>
      <c r="F16" s="34">
        <f>2*23.75*39.43</f>
        <v>1872.925</v>
      </c>
      <c r="G16" s="38">
        <v>0.05</v>
      </c>
      <c r="H16" s="35">
        <f t="shared" si="0"/>
        <v>1966.57125</v>
      </c>
      <c r="I16" s="36" t="s">
        <v>21</v>
      </c>
      <c r="J16" s="52">
        <f t="shared" si="1"/>
        <v>0</v>
      </c>
      <c r="K16" s="42">
        <f t="shared" si="2"/>
        <v>0</v>
      </c>
      <c r="L16" s="63"/>
      <c r="M16" s="79"/>
    </row>
    <row r="17" spans="1:13" s="1" customFormat="1" ht="47.25" x14ac:dyDescent="0.2">
      <c r="A17" s="17">
        <f>IF(F17&lt;&gt;"",1+MAX($A$6:A16),"")</f>
        <v>8</v>
      </c>
      <c r="B17" s="2" t="s">
        <v>23</v>
      </c>
      <c r="C17" s="2" t="s">
        <v>24</v>
      </c>
      <c r="D17" s="24"/>
      <c r="E17" s="40" t="s">
        <v>243</v>
      </c>
      <c r="F17" s="34">
        <f>2*19.083*12.21</f>
        <v>466.00686000000002</v>
      </c>
      <c r="G17" s="38">
        <v>0.05</v>
      </c>
      <c r="H17" s="35">
        <f t="shared" si="0"/>
        <v>489.30720300000002</v>
      </c>
      <c r="I17" s="36" t="s">
        <v>21</v>
      </c>
      <c r="J17" s="52">
        <f t="shared" si="1"/>
        <v>0</v>
      </c>
      <c r="K17" s="42">
        <f t="shared" si="2"/>
        <v>0</v>
      </c>
      <c r="L17" s="63"/>
      <c r="M17" s="79"/>
    </row>
    <row r="18" spans="1:13" s="1" customFormat="1" ht="47.25" x14ac:dyDescent="0.2">
      <c r="A18" s="17">
        <f>IF(F18&lt;&gt;"",1+MAX($A$6:A17),"")</f>
        <v>9</v>
      </c>
      <c r="B18" s="2" t="s">
        <v>23</v>
      </c>
      <c r="C18" s="2" t="s">
        <v>24</v>
      </c>
      <c r="D18" s="24"/>
      <c r="E18" s="40" t="s">
        <v>244</v>
      </c>
      <c r="F18" s="34">
        <f>2*16*37.69</f>
        <v>1206.08</v>
      </c>
      <c r="G18" s="38">
        <v>0.05</v>
      </c>
      <c r="H18" s="35">
        <f t="shared" si="0"/>
        <v>1266.384</v>
      </c>
      <c r="I18" s="36" t="s">
        <v>21</v>
      </c>
      <c r="J18" s="52">
        <f t="shared" si="1"/>
        <v>0</v>
      </c>
      <c r="K18" s="42">
        <f t="shared" si="2"/>
        <v>0</v>
      </c>
      <c r="L18" s="63"/>
      <c r="M18" s="79"/>
    </row>
    <row r="19" spans="1:13" s="1" customFormat="1" x14ac:dyDescent="0.2">
      <c r="A19" s="17" t="str">
        <f>IF(F19&lt;&gt;"",1+MAX($A$6:A18),"")</f>
        <v/>
      </c>
      <c r="B19" s="2"/>
      <c r="C19" s="2"/>
      <c r="D19" s="24"/>
      <c r="E19" s="40"/>
      <c r="F19" s="34"/>
      <c r="G19" s="38"/>
      <c r="H19" s="35"/>
      <c r="I19" s="36"/>
      <c r="J19" s="52"/>
      <c r="K19" s="42"/>
      <c r="L19" s="63"/>
      <c r="M19" s="79"/>
    </row>
    <row r="20" spans="1:13" s="44" customFormat="1" x14ac:dyDescent="0.2">
      <c r="A20" s="17" t="str">
        <f>IF(F20&lt;&gt;"",1+MAX($A$6:A19),"")</f>
        <v/>
      </c>
      <c r="B20" s="2"/>
      <c r="C20" s="2"/>
      <c r="D20" s="39"/>
      <c r="E20" s="69" t="s">
        <v>20</v>
      </c>
      <c r="F20" s="34"/>
      <c r="G20" s="38"/>
      <c r="H20" s="35"/>
      <c r="I20" s="36"/>
      <c r="J20" s="52"/>
      <c r="K20" s="42"/>
      <c r="L20" s="63"/>
      <c r="M20" s="81"/>
    </row>
    <row r="21" spans="1:13" s="44" customFormat="1" ht="31.5" x14ac:dyDescent="0.2">
      <c r="A21" s="17">
        <f>IF(F21&lt;&gt;"",1+MAX($A$6:A20),"")</f>
        <v>10</v>
      </c>
      <c r="B21" s="2" t="s">
        <v>23</v>
      </c>
      <c r="C21" s="2" t="s">
        <v>24</v>
      </c>
      <c r="D21" s="39"/>
      <c r="E21" s="40" t="s">
        <v>28</v>
      </c>
      <c r="F21" s="34">
        <f>9+11+10+4</f>
        <v>34</v>
      </c>
      <c r="G21" s="38">
        <v>0</v>
      </c>
      <c r="H21" s="35">
        <f>F21*(1+G21)</f>
        <v>34</v>
      </c>
      <c r="I21" s="36" t="s">
        <v>17</v>
      </c>
      <c r="J21" s="133">
        <v>0</v>
      </c>
      <c r="K21" s="42">
        <f>J21*H21</f>
        <v>0</v>
      </c>
      <c r="L21" s="63"/>
      <c r="M21" s="81"/>
    </row>
    <row r="22" spans="1:13" s="44" customFormat="1" ht="31.5" x14ac:dyDescent="0.2">
      <c r="A22" s="17">
        <f>IF(F22&lt;&gt;"",1+MAX($A$6:A21),"")</f>
        <v>11</v>
      </c>
      <c r="B22" s="2" t="s">
        <v>23</v>
      </c>
      <c r="C22" s="2" t="s">
        <v>24</v>
      </c>
      <c r="D22" s="39"/>
      <c r="E22" s="40" t="s">
        <v>29</v>
      </c>
      <c r="F22" s="34">
        <f>3+2+1</f>
        <v>6</v>
      </c>
      <c r="G22" s="38">
        <v>0</v>
      </c>
      <c r="H22" s="35">
        <f>F22*(1+G22)</f>
        <v>6</v>
      </c>
      <c r="I22" s="36" t="s">
        <v>17</v>
      </c>
      <c r="J22" s="133">
        <v>0</v>
      </c>
      <c r="K22" s="42">
        <f>J22*H22</f>
        <v>0</v>
      </c>
      <c r="L22" s="63"/>
      <c r="M22" s="81"/>
    </row>
    <row r="23" spans="1:13" s="44" customFormat="1" ht="31.5" x14ac:dyDescent="0.2">
      <c r="A23" s="17">
        <f>IF(F23&lt;&gt;"",1+MAX($A$6:A22),"")</f>
        <v>12</v>
      </c>
      <c r="B23" s="2" t="s">
        <v>23</v>
      </c>
      <c r="C23" s="2" t="s">
        <v>24</v>
      </c>
      <c r="D23" s="39"/>
      <c r="E23" s="40" t="s">
        <v>30</v>
      </c>
      <c r="F23" s="34">
        <v>2</v>
      </c>
      <c r="G23" s="38">
        <v>0</v>
      </c>
      <c r="H23" s="35">
        <f>F23*(1+G23)</f>
        <v>2</v>
      </c>
      <c r="I23" s="36" t="s">
        <v>17</v>
      </c>
      <c r="J23" s="133">
        <v>0</v>
      </c>
      <c r="K23" s="42">
        <f>J23*H23</f>
        <v>0</v>
      </c>
      <c r="L23" s="63"/>
      <c r="M23" s="81"/>
    </row>
    <row r="24" spans="1:13" s="1" customFormat="1" ht="16.5" thickBot="1" x14ac:dyDescent="0.25">
      <c r="A24" s="17" t="str">
        <f>IF(F24&lt;&gt;"",1+MAX($A$6:A23),"")</f>
        <v/>
      </c>
      <c r="B24" s="2"/>
      <c r="C24" s="2"/>
      <c r="D24" s="2"/>
      <c r="E24" s="40"/>
      <c r="F24" s="34"/>
      <c r="G24" s="38"/>
      <c r="H24" s="35"/>
      <c r="I24" s="36"/>
      <c r="J24" s="52"/>
      <c r="K24" s="42"/>
      <c r="L24" s="63"/>
      <c r="M24" s="79"/>
    </row>
    <row r="25" spans="1:13" s="1" customFormat="1" ht="16.5" thickBot="1" x14ac:dyDescent="0.25">
      <c r="A25" s="17" t="str">
        <f>IF(F25&lt;&gt;"",1+MAX($A$6:A24),"")</f>
        <v/>
      </c>
      <c r="B25" s="23"/>
      <c r="C25" s="48"/>
      <c r="D25" s="49"/>
      <c r="E25" s="71" t="s">
        <v>33</v>
      </c>
      <c r="F25" s="68"/>
      <c r="G25" s="61"/>
      <c r="H25" s="29"/>
      <c r="I25" s="30"/>
      <c r="J25" s="51"/>
      <c r="K25" s="27"/>
      <c r="L25" s="63"/>
      <c r="M25" s="79"/>
    </row>
    <row r="26" spans="1:13" s="44" customFormat="1" x14ac:dyDescent="0.2">
      <c r="A26" s="17" t="str">
        <f>IF(F26&lt;&gt;"",1+MAX($A$6:A25),"")</f>
        <v/>
      </c>
      <c r="B26" s="2"/>
      <c r="C26" s="2"/>
      <c r="D26" s="39"/>
      <c r="E26" s="69" t="s">
        <v>25</v>
      </c>
      <c r="F26" s="34"/>
      <c r="G26" s="38"/>
      <c r="H26" s="35"/>
      <c r="I26" s="36"/>
      <c r="J26" s="52"/>
      <c r="K26" s="42"/>
      <c r="L26" s="63"/>
      <c r="M26" s="81"/>
    </row>
    <row r="27" spans="1:13" s="44" customFormat="1" ht="47.25" x14ac:dyDescent="0.2">
      <c r="A27" s="17">
        <f>IF(F27&lt;&gt;"",1+MAX($A$6:A26),"")</f>
        <v>13</v>
      </c>
      <c r="B27" s="2" t="s">
        <v>23</v>
      </c>
      <c r="C27" s="2" t="s">
        <v>24</v>
      </c>
      <c r="D27" s="39"/>
      <c r="E27" s="40" t="s">
        <v>245</v>
      </c>
      <c r="F27" s="34">
        <f>(3*18)*27.48</f>
        <v>1483.92</v>
      </c>
      <c r="G27" s="38">
        <v>0.05</v>
      </c>
      <c r="H27" s="35">
        <f>F27*(1+G27)</f>
        <v>1558.1160000000002</v>
      </c>
      <c r="I27" s="36" t="s">
        <v>21</v>
      </c>
      <c r="J27" s="52">
        <f t="shared" ref="J27:J35" si="3">J$10</f>
        <v>0</v>
      </c>
      <c r="K27" s="42">
        <f>J27*H27</f>
        <v>0</v>
      </c>
      <c r="L27" s="63"/>
      <c r="M27" s="81"/>
    </row>
    <row r="28" spans="1:13" s="1" customFormat="1" ht="47.25" x14ac:dyDescent="0.2">
      <c r="A28" s="17">
        <f>IF(F28&lt;&gt;"",1+MAX($A$6:A27),"")</f>
        <v>14</v>
      </c>
      <c r="B28" s="2" t="s">
        <v>23</v>
      </c>
      <c r="C28" s="2" t="s">
        <v>24</v>
      </c>
      <c r="D28" s="24"/>
      <c r="E28" s="40" t="s">
        <v>246</v>
      </c>
      <c r="F28" s="34">
        <f>(10*18+1*18.25)*50.81</f>
        <v>10073.0825</v>
      </c>
      <c r="G28" s="38">
        <v>0.05</v>
      </c>
      <c r="H28" s="35">
        <f t="shared" ref="H28:H35" si="4">F28*(1+G28)</f>
        <v>10576.736625000001</v>
      </c>
      <c r="I28" s="36" t="s">
        <v>21</v>
      </c>
      <c r="J28" s="52">
        <f t="shared" si="3"/>
        <v>0</v>
      </c>
      <c r="K28" s="42">
        <f t="shared" ref="K28:K35" si="5">J28*H28</f>
        <v>0</v>
      </c>
      <c r="L28" s="63"/>
      <c r="M28" s="79"/>
    </row>
    <row r="29" spans="1:13" s="1" customFormat="1" ht="47.25" x14ac:dyDescent="0.2">
      <c r="A29" s="17">
        <f>IF(F29&lt;&gt;"",1+MAX($A$6:A28),"")</f>
        <v>15</v>
      </c>
      <c r="B29" s="2" t="s">
        <v>23</v>
      </c>
      <c r="C29" s="2" t="s">
        <v>24</v>
      </c>
      <c r="D29" s="24"/>
      <c r="E29" s="40" t="s">
        <v>247</v>
      </c>
      <c r="F29" s="34">
        <f>(8*13)*37.69</f>
        <v>3919.7599999999998</v>
      </c>
      <c r="G29" s="38">
        <v>0.05</v>
      </c>
      <c r="H29" s="35">
        <f t="shared" si="4"/>
        <v>4115.7479999999996</v>
      </c>
      <c r="I29" s="36" t="s">
        <v>21</v>
      </c>
      <c r="J29" s="52">
        <f t="shared" si="3"/>
        <v>0</v>
      </c>
      <c r="K29" s="42">
        <f t="shared" si="5"/>
        <v>0</v>
      </c>
      <c r="L29" s="63"/>
      <c r="M29" s="79"/>
    </row>
    <row r="30" spans="1:13" s="1" customFormat="1" ht="47.25" x14ac:dyDescent="0.2">
      <c r="A30" s="17">
        <f>IF(F30&lt;&gt;"",1+MAX($A$6:A29),"")</f>
        <v>16</v>
      </c>
      <c r="B30" s="2" t="s">
        <v>23</v>
      </c>
      <c r="C30" s="2" t="s">
        <v>24</v>
      </c>
      <c r="D30" s="24"/>
      <c r="E30" s="40" t="s">
        <v>231</v>
      </c>
      <c r="F30" s="34">
        <f>(3*18)*76.07</f>
        <v>4107.78</v>
      </c>
      <c r="G30" s="38">
        <v>0.05</v>
      </c>
      <c r="H30" s="35">
        <f t="shared" si="4"/>
        <v>4313.1689999999999</v>
      </c>
      <c r="I30" s="36" t="s">
        <v>21</v>
      </c>
      <c r="J30" s="52">
        <f t="shared" si="3"/>
        <v>0</v>
      </c>
      <c r="K30" s="42">
        <f t="shared" si="5"/>
        <v>0</v>
      </c>
      <c r="L30" s="63"/>
      <c r="M30" s="79"/>
    </row>
    <row r="31" spans="1:13" s="1" customFormat="1" ht="47.25" x14ac:dyDescent="0.2">
      <c r="A31" s="17">
        <f>IF(F31&lt;&gt;"",1+MAX($A$6:A30),"")</f>
        <v>17</v>
      </c>
      <c r="B31" s="2" t="s">
        <v>23</v>
      </c>
      <c r="C31" s="2" t="s">
        <v>24</v>
      </c>
      <c r="D31" s="24"/>
      <c r="E31" s="40" t="s">
        <v>248</v>
      </c>
      <c r="F31" s="34">
        <f>(2*18*72)</f>
        <v>2592</v>
      </c>
      <c r="G31" s="38">
        <v>0.05</v>
      </c>
      <c r="H31" s="35">
        <f t="shared" si="4"/>
        <v>2721.6</v>
      </c>
      <c r="I31" s="36" t="s">
        <v>21</v>
      </c>
      <c r="J31" s="52">
        <f t="shared" si="3"/>
        <v>0</v>
      </c>
      <c r="K31" s="42">
        <f t="shared" si="5"/>
        <v>0</v>
      </c>
      <c r="L31" s="63"/>
      <c r="M31" s="79"/>
    </row>
    <row r="32" spans="1:13" s="1" customFormat="1" x14ac:dyDescent="0.2">
      <c r="A32" s="17">
        <f>IF(F32&lt;&gt;"",1+MAX($A$6:A31),"")</f>
        <v>18</v>
      </c>
      <c r="B32" s="2" t="s">
        <v>23</v>
      </c>
      <c r="C32" s="2" t="s">
        <v>24</v>
      </c>
      <c r="D32" s="24"/>
      <c r="E32" s="40" t="s">
        <v>26</v>
      </c>
      <c r="F32" s="34">
        <f>1*18*25.82</f>
        <v>464.76</v>
      </c>
      <c r="G32" s="38">
        <v>0.05</v>
      </c>
      <c r="H32" s="35">
        <f t="shared" si="4"/>
        <v>487.99799999999999</v>
      </c>
      <c r="I32" s="36" t="s">
        <v>21</v>
      </c>
      <c r="J32" s="52">
        <f t="shared" si="3"/>
        <v>0</v>
      </c>
      <c r="K32" s="42">
        <f t="shared" si="5"/>
        <v>0</v>
      </c>
      <c r="L32" s="63"/>
      <c r="M32" s="79"/>
    </row>
    <row r="33" spans="1:13" s="1" customFormat="1" x14ac:dyDescent="0.2">
      <c r="A33" s="17">
        <f>IF(F33&lt;&gt;"",1+MAX($A$6:A32),"")</f>
        <v>19</v>
      </c>
      <c r="B33" s="2" t="s">
        <v>23</v>
      </c>
      <c r="C33" s="2" t="s">
        <v>24</v>
      </c>
      <c r="D33" s="24"/>
      <c r="E33" s="84" t="s">
        <v>27</v>
      </c>
      <c r="F33" s="34">
        <f>2*18*39.43</f>
        <v>1419.48</v>
      </c>
      <c r="G33" s="38">
        <v>0.05</v>
      </c>
      <c r="H33" s="35">
        <f t="shared" si="4"/>
        <v>1490.4540000000002</v>
      </c>
      <c r="I33" s="36" t="s">
        <v>21</v>
      </c>
      <c r="J33" s="52">
        <f t="shared" si="3"/>
        <v>0</v>
      </c>
      <c r="K33" s="42">
        <f t="shared" si="5"/>
        <v>0</v>
      </c>
      <c r="L33" s="63"/>
      <c r="M33" s="79"/>
    </row>
    <row r="34" spans="1:13" s="1" customFormat="1" x14ac:dyDescent="0.2">
      <c r="A34" s="17">
        <f>IF(F34&lt;&gt;"",1+MAX($A$6:A33),"")</f>
        <v>20</v>
      </c>
      <c r="B34" s="2" t="s">
        <v>23</v>
      </c>
      <c r="C34" s="2" t="s">
        <v>24</v>
      </c>
      <c r="D34" s="24"/>
      <c r="E34" s="40" t="s">
        <v>34</v>
      </c>
      <c r="F34" s="34">
        <f>1*18*27.48</f>
        <v>494.64</v>
      </c>
      <c r="G34" s="38">
        <v>0.05</v>
      </c>
      <c r="H34" s="35">
        <f t="shared" si="4"/>
        <v>519.37199999999996</v>
      </c>
      <c r="I34" s="36" t="s">
        <v>21</v>
      </c>
      <c r="J34" s="52">
        <f t="shared" si="3"/>
        <v>0</v>
      </c>
      <c r="K34" s="42">
        <f t="shared" si="5"/>
        <v>0</v>
      </c>
      <c r="L34" s="63"/>
      <c r="M34" s="79"/>
    </row>
    <row r="35" spans="1:13" s="1" customFormat="1" x14ac:dyDescent="0.2">
      <c r="A35" s="17">
        <f>IF(F35&lt;&gt;"",1+MAX($A$6:A34),"")</f>
        <v>21</v>
      </c>
      <c r="B35" s="2" t="s">
        <v>23</v>
      </c>
      <c r="C35" s="2" t="s">
        <v>24</v>
      </c>
      <c r="D35" s="24"/>
      <c r="E35" s="40" t="s">
        <v>35</v>
      </c>
      <c r="F35" s="34">
        <f>4*18*37.69</f>
        <v>2713.68</v>
      </c>
      <c r="G35" s="38">
        <v>0.05</v>
      </c>
      <c r="H35" s="35">
        <f t="shared" si="4"/>
        <v>2849.364</v>
      </c>
      <c r="I35" s="36" t="s">
        <v>21</v>
      </c>
      <c r="J35" s="52">
        <f t="shared" si="3"/>
        <v>0</v>
      </c>
      <c r="K35" s="42">
        <f t="shared" si="5"/>
        <v>0</v>
      </c>
      <c r="L35" s="63"/>
      <c r="M35" s="79"/>
    </row>
    <row r="36" spans="1:13" s="1" customFormat="1" x14ac:dyDescent="0.2">
      <c r="A36" s="17" t="str">
        <f>IF(F36&lt;&gt;"",1+MAX($A$6:A35),"")</f>
        <v/>
      </c>
      <c r="B36" s="2"/>
      <c r="C36" s="2"/>
      <c r="D36" s="24"/>
      <c r="E36" s="40"/>
      <c r="F36" s="34"/>
      <c r="G36" s="38"/>
      <c r="H36" s="35"/>
      <c r="I36" s="36"/>
      <c r="J36" s="52"/>
      <c r="K36" s="42"/>
      <c r="L36" s="63"/>
      <c r="M36" s="79"/>
    </row>
    <row r="37" spans="1:13" s="44" customFormat="1" x14ac:dyDescent="0.2">
      <c r="A37" s="17" t="str">
        <f>IF(F37&lt;&gt;"",1+MAX($A$6:A36),"")</f>
        <v/>
      </c>
      <c r="B37" s="2"/>
      <c r="C37" s="2"/>
      <c r="D37" s="39"/>
      <c r="E37" s="69" t="s">
        <v>37</v>
      </c>
      <c r="F37" s="34"/>
      <c r="G37" s="38"/>
      <c r="H37" s="35"/>
      <c r="I37" s="36"/>
      <c r="J37" s="52"/>
      <c r="K37" s="42"/>
      <c r="L37" s="63"/>
      <c r="M37" s="81"/>
    </row>
    <row r="38" spans="1:13" s="44" customFormat="1" x14ac:dyDescent="0.2">
      <c r="A38" s="17">
        <f>IF(F38&lt;&gt;"",1+MAX($A$6:A37),"")</f>
        <v>22</v>
      </c>
      <c r="B38" s="2" t="s">
        <v>23</v>
      </c>
      <c r="C38" s="2"/>
      <c r="D38" s="39"/>
      <c r="E38" s="40" t="s">
        <v>39</v>
      </c>
      <c r="F38" s="34">
        <f>11</f>
        <v>11</v>
      </c>
      <c r="G38" s="38">
        <v>0</v>
      </c>
      <c r="H38" s="35">
        <f t="shared" ref="H38:H43" si="6">F38*(1+G38)</f>
        <v>11</v>
      </c>
      <c r="I38" s="36" t="s">
        <v>17</v>
      </c>
      <c r="J38" s="133">
        <v>0</v>
      </c>
      <c r="K38" s="42">
        <f t="shared" ref="K38:K43" si="7">J38*H38</f>
        <v>0</v>
      </c>
      <c r="L38" s="63"/>
      <c r="M38" s="81"/>
    </row>
    <row r="39" spans="1:13" s="44" customFormat="1" x14ac:dyDescent="0.2">
      <c r="A39" s="17">
        <f>IF(F39&lt;&gt;"",1+MAX($A$6:A38),"")</f>
        <v>23</v>
      </c>
      <c r="B39" s="2" t="s">
        <v>23</v>
      </c>
      <c r="C39" s="2"/>
      <c r="D39" s="39"/>
      <c r="E39" s="40" t="s">
        <v>43</v>
      </c>
      <c r="F39" s="34">
        <f>13*2+7*2</f>
        <v>40</v>
      </c>
      <c r="G39" s="38">
        <v>0</v>
      </c>
      <c r="H39" s="35">
        <f t="shared" si="6"/>
        <v>40</v>
      </c>
      <c r="I39" s="36" t="s">
        <v>17</v>
      </c>
      <c r="J39" s="133">
        <v>0</v>
      </c>
      <c r="K39" s="42">
        <f t="shared" si="7"/>
        <v>0</v>
      </c>
      <c r="L39" s="63"/>
      <c r="M39" s="81"/>
    </row>
    <row r="40" spans="1:13" s="44" customFormat="1" x14ac:dyDescent="0.2">
      <c r="A40" s="17">
        <f>IF(F40&lt;&gt;"",1+MAX($A$6:A39),"")</f>
        <v>24</v>
      </c>
      <c r="B40" s="2" t="s">
        <v>23</v>
      </c>
      <c r="C40" s="2"/>
      <c r="D40" s="39"/>
      <c r="E40" s="40" t="s">
        <v>50</v>
      </c>
      <c r="F40" s="34">
        <f>(470/4+1)+23</f>
        <v>141.5</v>
      </c>
      <c r="G40" s="38">
        <v>0</v>
      </c>
      <c r="H40" s="35">
        <f t="shared" si="6"/>
        <v>141.5</v>
      </c>
      <c r="I40" s="36" t="s">
        <v>17</v>
      </c>
      <c r="J40" s="133">
        <v>0</v>
      </c>
      <c r="K40" s="42">
        <f t="shared" si="7"/>
        <v>0</v>
      </c>
      <c r="L40" s="63"/>
      <c r="M40" s="81"/>
    </row>
    <row r="41" spans="1:13" s="44" customFormat="1" x14ac:dyDescent="0.2">
      <c r="A41" s="17">
        <f>IF(F41&lt;&gt;"",1+MAX($A$6:A40),"")</f>
        <v>25</v>
      </c>
      <c r="B41" s="2" t="s">
        <v>23</v>
      </c>
      <c r="C41" s="2"/>
      <c r="D41" s="39"/>
      <c r="E41" s="40" t="s">
        <v>49</v>
      </c>
      <c r="F41" s="34">
        <f>470+102.5</f>
        <v>572.5</v>
      </c>
      <c r="G41" s="38">
        <v>0.05</v>
      </c>
      <c r="H41" s="35">
        <f t="shared" si="6"/>
        <v>601.125</v>
      </c>
      <c r="I41" s="36" t="s">
        <v>44</v>
      </c>
      <c r="J41" s="133">
        <v>0</v>
      </c>
      <c r="K41" s="42">
        <f t="shared" si="7"/>
        <v>0</v>
      </c>
      <c r="L41" s="63"/>
      <c r="M41" s="81"/>
    </row>
    <row r="42" spans="1:13" s="44" customFormat="1" x14ac:dyDescent="0.2">
      <c r="A42" s="17">
        <f>IF(F42&lt;&gt;"",1+MAX($A$6:A41),"")</f>
        <v>26</v>
      </c>
      <c r="B42" s="2" t="s">
        <v>23</v>
      </c>
      <c r="C42" s="2"/>
      <c r="D42" s="39"/>
      <c r="E42" s="40" t="s">
        <v>51</v>
      </c>
      <c r="F42" s="34">
        <v>153.1</v>
      </c>
      <c r="G42" s="38">
        <v>0.05</v>
      </c>
      <c r="H42" s="35">
        <f t="shared" si="6"/>
        <v>160.755</v>
      </c>
      <c r="I42" s="36" t="s">
        <v>44</v>
      </c>
      <c r="J42" s="133">
        <v>0</v>
      </c>
      <c r="K42" s="42">
        <f t="shared" si="7"/>
        <v>0</v>
      </c>
      <c r="L42" s="63"/>
      <c r="M42" s="81"/>
    </row>
    <row r="43" spans="1:13" s="44" customFormat="1" x14ac:dyDescent="0.2">
      <c r="A43" s="17">
        <f>IF(F43&lt;&gt;"",1+MAX($A$6:A42),"")</f>
        <v>27</v>
      </c>
      <c r="B43" s="2" t="s">
        <v>23</v>
      </c>
      <c r="C43" s="2"/>
      <c r="D43" s="39"/>
      <c r="E43" s="84" t="s">
        <v>94</v>
      </c>
      <c r="F43" s="34">
        <f>(3893.5*2)/4+1</f>
        <v>1947.75</v>
      </c>
      <c r="G43" s="38">
        <v>0</v>
      </c>
      <c r="H43" s="35">
        <f t="shared" si="6"/>
        <v>1947.75</v>
      </c>
      <c r="I43" s="36" t="s">
        <v>17</v>
      </c>
      <c r="J43" s="133">
        <v>0</v>
      </c>
      <c r="K43" s="42">
        <f t="shared" si="7"/>
        <v>0</v>
      </c>
      <c r="L43" s="63"/>
      <c r="M43" s="81"/>
    </row>
    <row r="44" spans="1:13" s="1" customFormat="1" x14ac:dyDescent="0.2">
      <c r="A44" s="17" t="str">
        <f>IF(F44&lt;&gt;"",1+MAX($A$6:A43),"")</f>
        <v/>
      </c>
      <c r="B44" s="2"/>
      <c r="C44" s="2"/>
      <c r="D44" s="24"/>
      <c r="E44" s="40"/>
      <c r="F44" s="34"/>
      <c r="G44" s="38"/>
      <c r="H44" s="35"/>
      <c r="I44" s="36"/>
      <c r="J44" s="52"/>
      <c r="K44" s="42"/>
      <c r="L44" s="63"/>
      <c r="M44" s="79"/>
    </row>
    <row r="45" spans="1:13" s="44" customFormat="1" x14ac:dyDescent="0.2">
      <c r="A45" s="17" t="str">
        <f>IF(F45&lt;&gt;"",1+MAX($A$6:A44),"")</f>
        <v/>
      </c>
      <c r="B45" s="2"/>
      <c r="C45" s="2"/>
      <c r="D45" s="39"/>
      <c r="E45" s="69" t="s">
        <v>22</v>
      </c>
      <c r="F45" s="34"/>
      <c r="G45" s="38"/>
      <c r="H45" s="35"/>
      <c r="I45" s="36"/>
      <c r="J45" s="52"/>
      <c r="K45" s="42"/>
      <c r="L45" s="63"/>
      <c r="M45" s="81"/>
    </row>
    <row r="46" spans="1:13" s="44" customFormat="1" x14ac:dyDescent="0.2">
      <c r="A46" s="17">
        <f>IF(F46&lt;&gt;"",1+MAX($A$6:A45),"")</f>
        <v>28</v>
      </c>
      <c r="B46" s="2" t="s">
        <v>23</v>
      </c>
      <c r="C46" s="2"/>
      <c r="D46" s="39"/>
      <c r="E46" s="84" t="s">
        <v>97</v>
      </c>
      <c r="F46" s="34">
        <f>287.1*42.79</f>
        <v>12285.009</v>
      </c>
      <c r="G46" s="38">
        <v>0.05</v>
      </c>
      <c r="H46" s="35">
        <f t="shared" ref="H46:H61" si="8">F46*(1+G46)</f>
        <v>12899.259450000001</v>
      </c>
      <c r="I46" s="36" t="s">
        <v>21</v>
      </c>
      <c r="J46" s="52">
        <f t="shared" ref="J46:J68" si="9">J$10</f>
        <v>0</v>
      </c>
      <c r="K46" s="42">
        <f t="shared" ref="K46:K61" si="10">J46*H46</f>
        <v>0</v>
      </c>
      <c r="L46" s="63"/>
      <c r="M46" s="81"/>
    </row>
    <row r="47" spans="1:13" s="44" customFormat="1" x14ac:dyDescent="0.2">
      <c r="A47" s="17">
        <f>IF(F47&lt;&gt;"",1+MAX($A$6:A46),"")</f>
        <v>29</v>
      </c>
      <c r="B47" s="2" t="s">
        <v>23</v>
      </c>
      <c r="C47" s="2"/>
      <c r="D47" s="39"/>
      <c r="E47" s="84" t="s">
        <v>118</v>
      </c>
      <c r="F47" s="34">
        <f>28.2*76.33</f>
        <v>2152.5059999999999</v>
      </c>
      <c r="G47" s="38">
        <v>0.05</v>
      </c>
      <c r="H47" s="35">
        <f>F47*(1+G47)</f>
        <v>2260.1313</v>
      </c>
      <c r="I47" s="36" t="s">
        <v>21</v>
      </c>
      <c r="J47" s="52">
        <f t="shared" si="9"/>
        <v>0</v>
      </c>
      <c r="K47" s="42">
        <f>J47*H47</f>
        <v>0</v>
      </c>
      <c r="L47" s="63"/>
      <c r="M47" s="81"/>
    </row>
    <row r="48" spans="1:13" s="44" customFormat="1" x14ac:dyDescent="0.2">
      <c r="A48" s="17">
        <f>IF(F48&lt;&gt;"",1+MAX($A$6:A47),"")</f>
        <v>30</v>
      </c>
      <c r="B48" s="2" t="s">
        <v>23</v>
      </c>
      <c r="C48" s="2"/>
      <c r="D48" s="39"/>
      <c r="E48" s="84" t="s">
        <v>119</v>
      </c>
      <c r="F48" s="34">
        <f>65.7*5.41</f>
        <v>355.43700000000001</v>
      </c>
      <c r="G48" s="38">
        <v>0.05</v>
      </c>
      <c r="H48" s="35">
        <f t="shared" si="8"/>
        <v>373.20885000000004</v>
      </c>
      <c r="I48" s="36" t="s">
        <v>21</v>
      </c>
      <c r="J48" s="52">
        <f t="shared" si="9"/>
        <v>0</v>
      </c>
      <c r="K48" s="42">
        <f t="shared" si="10"/>
        <v>0</v>
      </c>
      <c r="L48" s="63"/>
      <c r="M48" s="81"/>
    </row>
    <row r="49" spans="1:13" s="44" customFormat="1" x14ac:dyDescent="0.2">
      <c r="A49" s="17">
        <f>IF(F49&lt;&gt;"",1+MAX($A$6:A48),"")</f>
        <v>31</v>
      </c>
      <c r="B49" s="2" t="s">
        <v>23</v>
      </c>
      <c r="C49" s="2"/>
      <c r="D49" s="39"/>
      <c r="E49" s="84" t="s">
        <v>120</v>
      </c>
      <c r="F49" s="34">
        <f>11.6*12.21</f>
        <v>141.636</v>
      </c>
      <c r="G49" s="38">
        <v>0.05</v>
      </c>
      <c r="H49" s="35">
        <f>F49*(1+G49)</f>
        <v>148.71780000000001</v>
      </c>
      <c r="I49" s="36" t="s">
        <v>21</v>
      </c>
      <c r="J49" s="52">
        <f t="shared" si="9"/>
        <v>0</v>
      </c>
      <c r="K49" s="42">
        <f>J49*H49</f>
        <v>0</v>
      </c>
      <c r="L49" s="63"/>
      <c r="M49" s="81"/>
    </row>
    <row r="50" spans="1:13" s="44" customFormat="1" x14ac:dyDescent="0.2">
      <c r="A50" s="17">
        <f>IF(F50&lt;&gt;"",1+MAX($A$6:A49),"")</f>
        <v>32</v>
      </c>
      <c r="B50" s="2" t="s">
        <v>23</v>
      </c>
      <c r="C50" s="2"/>
      <c r="D50" s="39"/>
      <c r="E50" s="84" t="s">
        <v>121</v>
      </c>
      <c r="F50" s="34">
        <f>247.8*27.48</f>
        <v>6809.5440000000008</v>
      </c>
      <c r="G50" s="38">
        <v>0.05</v>
      </c>
      <c r="H50" s="35">
        <f>F50*(1+G50)</f>
        <v>7150.021200000001</v>
      </c>
      <c r="I50" s="36" t="s">
        <v>21</v>
      </c>
      <c r="J50" s="52">
        <f t="shared" si="9"/>
        <v>0</v>
      </c>
      <c r="K50" s="42">
        <f>J50*H50</f>
        <v>0</v>
      </c>
      <c r="L50" s="63"/>
      <c r="M50" s="81"/>
    </row>
    <row r="51" spans="1:13" s="44" customFormat="1" x14ac:dyDescent="0.2">
      <c r="A51" s="17">
        <f>IF(F51&lt;&gt;"",1+MAX($A$6:A50),"")</f>
        <v>33</v>
      </c>
      <c r="B51" s="2" t="s">
        <v>23</v>
      </c>
      <c r="C51" s="2"/>
      <c r="D51" s="39"/>
      <c r="E51" s="40" t="s">
        <v>81</v>
      </c>
      <c r="F51" s="34">
        <f>1250.3*19</f>
        <v>23755.7</v>
      </c>
      <c r="G51" s="38">
        <v>0.05</v>
      </c>
      <c r="H51" s="35">
        <f t="shared" si="8"/>
        <v>24943.485000000001</v>
      </c>
      <c r="I51" s="36" t="s">
        <v>21</v>
      </c>
      <c r="J51" s="52">
        <f t="shared" si="9"/>
        <v>0</v>
      </c>
      <c r="K51" s="42">
        <f t="shared" si="10"/>
        <v>0</v>
      </c>
      <c r="L51" s="63"/>
      <c r="M51" s="81"/>
    </row>
    <row r="52" spans="1:13" s="44" customFormat="1" x14ac:dyDescent="0.2">
      <c r="A52" s="17">
        <f>IF(F52&lt;&gt;"",1+MAX($A$6:A51),"")</f>
        <v>34</v>
      </c>
      <c r="B52" s="2" t="s">
        <v>23</v>
      </c>
      <c r="C52" s="2"/>
      <c r="D52" s="39"/>
      <c r="E52" s="40" t="s">
        <v>112</v>
      </c>
      <c r="F52" s="34">
        <f>61.1*26</f>
        <v>1588.6000000000001</v>
      </c>
      <c r="G52" s="38">
        <v>0.05</v>
      </c>
      <c r="H52" s="35">
        <f>F52*(1+G52)</f>
        <v>1668.0300000000002</v>
      </c>
      <c r="I52" s="36" t="s">
        <v>21</v>
      </c>
      <c r="J52" s="52">
        <f t="shared" si="9"/>
        <v>0</v>
      </c>
      <c r="K52" s="42">
        <f>J52*H52</f>
        <v>0</v>
      </c>
      <c r="L52" s="63"/>
      <c r="M52" s="81"/>
    </row>
    <row r="53" spans="1:13" s="44" customFormat="1" x14ac:dyDescent="0.2">
      <c r="A53" s="17">
        <f>IF(F53&lt;&gt;"",1+MAX($A$6:A52),"")</f>
        <v>35</v>
      </c>
      <c r="B53" s="2" t="s">
        <v>23</v>
      </c>
      <c r="C53" s="2"/>
      <c r="D53" s="39"/>
      <c r="E53" s="40" t="s">
        <v>82</v>
      </c>
      <c r="F53" s="34">
        <f>289*22</f>
        <v>6358</v>
      </c>
      <c r="G53" s="38">
        <v>0.05</v>
      </c>
      <c r="H53" s="35">
        <f t="shared" si="8"/>
        <v>6675.9000000000005</v>
      </c>
      <c r="I53" s="36" t="s">
        <v>21</v>
      </c>
      <c r="J53" s="52">
        <f t="shared" si="9"/>
        <v>0</v>
      </c>
      <c r="K53" s="42">
        <f t="shared" si="10"/>
        <v>0</v>
      </c>
      <c r="L53" s="63"/>
      <c r="M53" s="81"/>
    </row>
    <row r="54" spans="1:13" s="44" customFormat="1" x14ac:dyDescent="0.2">
      <c r="A54" s="17">
        <f>IF(F54&lt;&gt;"",1+MAX($A$6:A53),"")</f>
        <v>36</v>
      </c>
      <c r="B54" s="2" t="s">
        <v>23</v>
      </c>
      <c r="C54" s="2"/>
      <c r="D54" s="39"/>
      <c r="E54" s="40" t="s">
        <v>100</v>
      </c>
      <c r="F54" s="34">
        <f>28.8*26</f>
        <v>748.80000000000007</v>
      </c>
      <c r="G54" s="38">
        <v>0.05</v>
      </c>
      <c r="H54" s="35">
        <f t="shared" si="8"/>
        <v>786.24000000000012</v>
      </c>
      <c r="I54" s="36" t="s">
        <v>21</v>
      </c>
      <c r="J54" s="52">
        <f t="shared" si="9"/>
        <v>0</v>
      </c>
      <c r="K54" s="42">
        <f t="shared" si="10"/>
        <v>0</v>
      </c>
      <c r="L54" s="63"/>
      <c r="M54" s="81"/>
    </row>
    <row r="55" spans="1:13" s="44" customFormat="1" x14ac:dyDescent="0.2">
      <c r="A55" s="17">
        <f>IF(F55&lt;&gt;"",1+MAX($A$6:A54),"")</f>
        <v>37</v>
      </c>
      <c r="B55" s="2" t="s">
        <v>23</v>
      </c>
      <c r="C55" s="2"/>
      <c r="D55" s="39"/>
      <c r="E55" s="40" t="s">
        <v>83</v>
      </c>
      <c r="F55" s="34">
        <f>233.7*26</f>
        <v>6076.2</v>
      </c>
      <c r="G55" s="38">
        <v>0.05</v>
      </c>
      <c r="H55" s="35">
        <f t="shared" si="8"/>
        <v>6380.01</v>
      </c>
      <c r="I55" s="36" t="s">
        <v>21</v>
      </c>
      <c r="J55" s="52">
        <f t="shared" si="9"/>
        <v>0</v>
      </c>
      <c r="K55" s="42">
        <f t="shared" si="10"/>
        <v>0</v>
      </c>
      <c r="L55" s="63"/>
      <c r="M55" s="81"/>
    </row>
    <row r="56" spans="1:13" s="44" customFormat="1" x14ac:dyDescent="0.2">
      <c r="A56" s="17">
        <f>IF(F56&lt;&gt;"",1+MAX($A$6:A55),"")</f>
        <v>38</v>
      </c>
      <c r="B56" s="2" t="s">
        <v>23</v>
      </c>
      <c r="C56" s="2"/>
      <c r="D56" s="39"/>
      <c r="E56" s="40" t="s">
        <v>101</v>
      </c>
      <c r="F56" s="34">
        <f>543.2*31</f>
        <v>16839.2</v>
      </c>
      <c r="G56" s="38">
        <v>0.05</v>
      </c>
      <c r="H56" s="35">
        <f t="shared" si="8"/>
        <v>17681.16</v>
      </c>
      <c r="I56" s="36" t="s">
        <v>21</v>
      </c>
      <c r="J56" s="52">
        <f t="shared" si="9"/>
        <v>0</v>
      </c>
      <c r="K56" s="42">
        <f t="shared" si="10"/>
        <v>0</v>
      </c>
      <c r="L56" s="63"/>
      <c r="M56" s="81"/>
    </row>
    <row r="57" spans="1:13" s="44" customFormat="1" x14ac:dyDescent="0.2">
      <c r="A57" s="17">
        <f>IF(F57&lt;&gt;"",1+MAX($A$6:A56),"")</f>
        <v>39</v>
      </c>
      <c r="B57" s="2" t="s">
        <v>23</v>
      </c>
      <c r="C57" s="2"/>
      <c r="D57" s="39"/>
      <c r="E57" s="40" t="s">
        <v>113</v>
      </c>
      <c r="F57" s="34">
        <f>31.8*77</f>
        <v>2448.6</v>
      </c>
      <c r="G57" s="38">
        <v>0.05</v>
      </c>
      <c r="H57" s="35">
        <f>F57*(1+G57)</f>
        <v>2571.0300000000002</v>
      </c>
      <c r="I57" s="36" t="s">
        <v>21</v>
      </c>
      <c r="J57" s="52">
        <f t="shared" si="9"/>
        <v>0</v>
      </c>
      <c r="K57" s="42">
        <f>J57*H57</f>
        <v>0</v>
      </c>
      <c r="L57" s="63"/>
      <c r="M57" s="81"/>
    </row>
    <row r="58" spans="1:13" s="44" customFormat="1" x14ac:dyDescent="0.2">
      <c r="A58" s="17">
        <f>IF(F58&lt;&gt;"",1+MAX($A$6:A57),"")</f>
        <v>40</v>
      </c>
      <c r="B58" s="2" t="s">
        <v>23</v>
      </c>
      <c r="C58" s="2"/>
      <c r="D58" s="39"/>
      <c r="E58" s="40" t="s">
        <v>69</v>
      </c>
      <c r="F58" s="34">
        <f>397*35</f>
        <v>13895</v>
      </c>
      <c r="G58" s="38">
        <v>0.05</v>
      </c>
      <c r="H58" s="35">
        <f t="shared" si="8"/>
        <v>14589.75</v>
      </c>
      <c r="I58" s="36" t="s">
        <v>21</v>
      </c>
      <c r="J58" s="52">
        <f t="shared" si="9"/>
        <v>0</v>
      </c>
      <c r="K58" s="42">
        <f t="shared" si="10"/>
        <v>0</v>
      </c>
      <c r="L58" s="63"/>
      <c r="M58" s="81"/>
    </row>
    <row r="59" spans="1:13" s="44" customFormat="1" x14ac:dyDescent="0.2">
      <c r="A59" s="17">
        <f>IF(F59&lt;&gt;"",1+MAX($A$6:A58),"")</f>
        <v>41</v>
      </c>
      <c r="B59" s="2" t="s">
        <v>23</v>
      </c>
      <c r="C59" s="2"/>
      <c r="D59" s="39"/>
      <c r="E59" s="40" t="s">
        <v>102</v>
      </c>
      <c r="F59" s="34">
        <f>40.2*40</f>
        <v>1608</v>
      </c>
      <c r="G59" s="38">
        <v>0.05</v>
      </c>
      <c r="H59" s="35">
        <f t="shared" si="8"/>
        <v>1688.4</v>
      </c>
      <c r="I59" s="36" t="s">
        <v>21</v>
      </c>
      <c r="J59" s="52">
        <f t="shared" si="9"/>
        <v>0</v>
      </c>
      <c r="K59" s="42">
        <f t="shared" si="10"/>
        <v>0</v>
      </c>
      <c r="L59" s="63"/>
      <c r="M59" s="81"/>
    </row>
    <row r="60" spans="1:13" s="44" customFormat="1" x14ac:dyDescent="0.2">
      <c r="A60" s="17">
        <f>IF(F60&lt;&gt;"",1+MAX($A$6:A59),"")</f>
        <v>42</v>
      </c>
      <c r="B60" s="2" t="s">
        <v>23</v>
      </c>
      <c r="C60" s="2"/>
      <c r="D60" s="39"/>
      <c r="E60" s="40" t="s">
        <v>84</v>
      </c>
      <c r="F60" s="34">
        <f>171.2*44</f>
        <v>7532.7999999999993</v>
      </c>
      <c r="G60" s="38">
        <v>0.05</v>
      </c>
      <c r="H60" s="35">
        <f t="shared" si="8"/>
        <v>7909.44</v>
      </c>
      <c r="I60" s="36" t="s">
        <v>21</v>
      </c>
      <c r="J60" s="52">
        <f t="shared" si="9"/>
        <v>0</v>
      </c>
      <c r="K60" s="42">
        <f t="shared" si="10"/>
        <v>0</v>
      </c>
      <c r="L60" s="63"/>
      <c r="M60" s="81"/>
    </row>
    <row r="61" spans="1:13" s="44" customFormat="1" x14ac:dyDescent="0.2">
      <c r="A61" s="17">
        <f>IF(F61&lt;&gt;"",1+MAX($A$6:A60),"")</f>
        <v>43</v>
      </c>
      <c r="B61" s="2" t="s">
        <v>23</v>
      </c>
      <c r="C61" s="2"/>
      <c r="D61" s="39"/>
      <c r="E61" s="40" t="s">
        <v>103</v>
      </c>
      <c r="F61" s="34">
        <f>47.3*48</f>
        <v>2270.3999999999996</v>
      </c>
      <c r="G61" s="38">
        <v>0.05</v>
      </c>
      <c r="H61" s="35">
        <f t="shared" si="8"/>
        <v>2383.9199999999996</v>
      </c>
      <c r="I61" s="36" t="s">
        <v>21</v>
      </c>
      <c r="J61" s="52">
        <f t="shared" si="9"/>
        <v>0</v>
      </c>
      <c r="K61" s="42">
        <f t="shared" si="10"/>
        <v>0</v>
      </c>
      <c r="L61" s="63"/>
      <c r="M61" s="81"/>
    </row>
    <row r="62" spans="1:13" s="44" customFormat="1" x14ac:dyDescent="0.2">
      <c r="A62" s="17">
        <f>IF(F62&lt;&gt;"",1+MAX($A$6:A61),"")</f>
        <v>44</v>
      </c>
      <c r="B62" s="2" t="s">
        <v>23</v>
      </c>
      <c r="C62" s="2"/>
      <c r="D62" s="39"/>
      <c r="E62" s="40" t="s">
        <v>104</v>
      </c>
      <c r="F62" s="34">
        <f>47.2*55</f>
        <v>2596</v>
      </c>
      <c r="G62" s="38">
        <v>0.05</v>
      </c>
      <c r="H62" s="35">
        <f t="shared" ref="H62:H68" si="11">F62*(1+G62)</f>
        <v>2725.8</v>
      </c>
      <c r="I62" s="36" t="s">
        <v>21</v>
      </c>
      <c r="J62" s="52">
        <f t="shared" si="9"/>
        <v>0</v>
      </c>
      <c r="K62" s="42">
        <f t="shared" ref="K62:K68" si="12">J62*H62</f>
        <v>0</v>
      </c>
      <c r="L62" s="63"/>
      <c r="M62" s="81"/>
    </row>
    <row r="63" spans="1:13" s="44" customFormat="1" x14ac:dyDescent="0.2">
      <c r="A63" s="17">
        <f>IF(F63&lt;&gt;"",1+MAX($A$6:A62),"")</f>
        <v>45</v>
      </c>
      <c r="B63" s="2" t="s">
        <v>23</v>
      </c>
      <c r="C63" s="2"/>
      <c r="D63" s="39"/>
      <c r="E63" s="40" t="s">
        <v>105</v>
      </c>
      <c r="F63" s="34">
        <f>198*68</f>
        <v>13464</v>
      </c>
      <c r="G63" s="38">
        <v>0.05</v>
      </c>
      <c r="H63" s="35">
        <f t="shared" si="11"/>
        <v>14137.2</v>
      </c>
      <c r="I63" s="36" t="s">
        <v>21</v>
      </c>
      <c r="J63" s="52">
        <f t="shared" si="9"/>
        <v>0</v>
      </c>
      <c r="K63" s="42">
        <f t="shared" si="12"/>
        <v>0</v>
      </c>
      <c r="L63" s="63"/>
      <c r="M63" s="81"/>
    </row>
    <row r="64" spans="1:13" s="44" customFormat="1" x14ac:dyDescent="0.2">
      <c r="A64" s="17">
        <f>IF(F64&lt;&gt;"",1+MAX($A$6:A63),"")</f>
        <v>46</v>
      </c>
      <c r="B64" s="2" t="s">
        <v>23</v>
      </c>
      <c r="C64" s="2"/>
      <c r="D64" s="39"/>
      <c r="E64" s="40" t="s">
        <v>86</v>
      </c>
      <c r="F64" s="34">
        <f>45.1*76</f>
        <v>3427.6</v>
      </c>
      <c r="G64" s="38">
        <v>0.05</v>
      </c>
      <c r="H64" s="35">
        <f t="shared" si="11"/>
        <v>3598.98</v>
      </c>
      <c r="I64" s="36" t="s">
        <v>21</v>
      </c>
      <c r="J64" s="52">
        <f t="shared" si="9"/>
        <v>0</v>
      </c>
      <c r="K64" s="42">
        <f t="shared" si="12"/>
        <v>0</v>
      </c>
      <c r="L64" s="63"/>
      <c r="M64" s="81"/>
    </row>
    <row r="65" spans="1:13" s="44" customFormat="1" x14ac:dyDescent="0.2">
      <c r="A65" s="17">
        <f>IF(F65&lt;&gt;"",1+MAX($A$6:A64),"")</f>
        <v>47</v>
      </c>
      <c r="B65" s="2" t="s">
        <v>23</v>
      </c>
      <c r="C65" s="2"/>
      <c r="D65" s="39"/>
      <c r="E65" s="40" t="s">
        <v>87</v>
      </c>
      <c r="F65" s="34">
        <f>44.4*84</f>
        <v>3729.6</v>
      </c>
      <c r="G65" s="38">
        <v>0.05</v>
      </c>
      <c r="H65" s="35">
        <f t="shared" si="11"/>
        <v>3916.08</v>
      </c>
      <c r="I65" s="36" t="s">
        <v>21</v>
      </c>
      <c r="J65" s="52">
        <f t="shared" si="9"/>
        <v>0</v>
      </c>
      <c r="K65" s="42">
        <f t="shared" si="12"/>
        <v>0</v>
      </c>
      <c r="L65" s="63"/>
      <c r="M65" s="81"/>
    </row>
    <row r="66" spans="1:13" s="44" customFormat="1" x14ac:dyDescent="0.2">
      <c r="A66" s="17">
        <f>IF(F66&lt;&gt;"",1+MAX($A$6:A65),"")</f>
        <v>48</v>
      </c>
      <c r="B66" s="2" t="s">
        <v>23</v>
      </c>
      <c r="C66" s="2"/>
      <c r="D66" s="39"/>
      <c r="E66" s="40" t="s">
        <v>114</v>
      </c>
      <c r="F66" s="34">
        <f>110.4*108</f>
        <v>11923.2</v>
      </c>
      <c r="G66" s="38">
        <v>0.05</v>
      </c>
      <c r="H66" s="35">
        <f t="shared" si="11"/>
        <v>12519.36</v>
      </c>
      <c r="I66" s="36" t="s">
        <v>21</v>
      </c>
      <c r="J66" s="52">
        <f t="shared" si="9"/>
        <v>0</v>
      </c>
      <c r="K66" s="42">
        <f t="shared" si="12"/>
        <v>0</v>
      </c>
      <c r="L66" s="63"/>
      <c r="M66" s="81"/>
    </row>
    <row r="67" spans="1:13" s="44" customFormat="1" x14ac:dyDescent="0.2">
      <c r="A67" s="17">
        <f>IF(F67&lt;&gt;"",1+MAX($A$6:A66),"")</f>
        <v>49</v>
      </c>
      <c r="B67" s="2" t="s">
        <v>23</v>
      </c>
      <c r="C67" s="2"/>
      <c r="D67" s="39"/>
      <c r="E67" s="40" t="s">
        <v>115</v>
      </c>
      <c r="F67" s="34">
        <f>47.5*132</f>
        <v>6270</v>
      </c>
      <c r="G67" s="38">
        <v>0.05</v>
      </c>
      <c r="H67" s="35">
        <f t="shared" si="11"/>
        <v>6583.5</v>
      </c>
      <c r="I67" s="36" t="s">
        <v>21</v>
      </c>
      <c r="J67" s="52">
        <f t="shared" si="9"/>
        <v>0</v>
      </c>
      <c r="K67" s="42">
        <f t="shared" si="12"/>
        <v>0</v>
      </c>
      <c r="L67" s="63"/>
      <c r="M67" s="81"/>
    </row>
    <row r="68" spans="1:13" s="44" customFormat="1" x14ac:dyDescent="0.2">
      <c r="A68" s="17">
        <f>IF(F68&lt;&gt;"",1+MAX($A$6:A67),"")</f>
        <v>50</v>
      </c>
      <c r="B68" s="2" t="s">
        <v>23</v>
      </c>
      <c r="C68" s="2"/>
      <c r="D68" s="39"/>
      <c r="E68" s="40" t="s">
        <v>116</v>
      </c>
      <c r="F68" s="34">
        <f>62.1*90</f>
        <v>5589</v>
      </c>
      <c r="G68" s="38">
        <v>0.05</v>
      </c>
      <c r="H68" s="35">
        <f t="shared" si="11"/>
        <v>5868.45</v>
      </c>
      <c r="I68" s="36" t="s">
        <v>21</v>
      </c>
      <c r="J68" s="52">
        <f t="shared" si="9"/>
        <v>0</v>
      </c>
      <c r="K68" s="42">
        <f t="shared" si="12"/>
        <v>0</v>
      </c>
      <c r="L68" s="63"/>
      <c r="M68" s="81"/>
    </row>
    <row r="69" spans="1:13" s="1" customFormat="1" x14ac:dyDescent="0.2">
      <c r="A69" s="17" t="str">
        <f>IF(F69&lt;&gt;"",1+MAX($A$6:A68),"")</f>
        <v/>
      </c>
      <c r="B69" s="2"/>
      <c r="C69" s="2"/>
      <c r="D69" s="24"/>
      <c r="E69" s="40"/>
      <c r="F69" s="34"/>
      <c r="G69" s="38"/>
      <c r="H69" s="35"/>
      <c r="I69" s="36"/>
      <c r="J69" s="52"/>
      <c r="K69" s="42"/>
      <c r="L69" s="63"/>
      <c r="M69" s="79"/>
    </row>
    <row r="70" spans="1:13" s="44" customFormat="1" x14ac:dyDescent="0.2">
      <c r="A70" s="17" t="str">
        <f>IF(F70&lt;&gt;"",1+MAX($A$6:A69),"")</f>
        <v/>
      </c>
      <c r="B70" s="2"/>
      <c r="C70" s="2"/>
      <c r="D70" s="39"/>
      <c r="E70" s="69" t="s">
        <v>106</v>
      </c>
      <c r="F70" s="34"/>
      <c r="G70" s="38"/>
      <c r="H70" s="35"/>
      <c r="I70" s="36"/>
      <c r="J70" s="52"/>
      <c r="K70" s="42"/>
      <c r="L70" s="63"/>
      <c r="M70" s="81"/>
    </row>
    <row r="71" spans="1:13" s="44" customFormat="1" x14ac:dyDescent="0.2">
      <c r="A71" s="17">
        <f>IF(F71&lt;&gt;"",1+MAX($A$6:A70),"")</f>
        <v>51</v>
      </c>
      <c r="B71" s="2" t="s">
        <v>23</v>
      </c>
      <c r="C71" s="2"/>
      <c r="D71" s="39"/>
      <c r="E71" s="40" t="s">
        <v>108</v>
      </c>
      <c r="F71" s="34">
        <f>18.6*2*20</f>
        <v>744</v>
      </c>
      <c r="G71" s="38">
        <v>0.05</v>
      </c>
      <c r="H71" s="35">
        <f>F71*(1+G71)</f>
        <v>781.2</v>
      </c>
      <c r="I71" s="36" t="s">
        <v>21</v>
      </c>
      <c r="J71" s="52">
        <f>J$10</f>
        <v>0</v>
      </c>
      <c r="K71" s="42">
        <f>J71*H71</f>
        <v>0</v>
      </c>
      <c r="L71" s="63"/>
      <c r="M71" s="81"/>
    </row>
    <row r="72" spans="1:13" s="44" customFormat="1" x14ac:dyDescent="0.2">
      <c r="A72" s="17" t="str">
        <f>IF(F72&lt;&gt;"",1+MAX($A$6:A71),"")</f>
        <v/>
      </c>
      <c r="B72" s="2"/>
      <c r="C72" s="2"/>
      <c r="D72" s="39"/>
      <c r="E72" s="40"/>
      <c r="F72" s="34"/>
      <c r="G72" s="38"/>
      <c r="H72" s="35"/>
      <c r="I72" s="36"/>
      <c r="J72" s="52"/>
      <c r="K72" s="42"/>
      <c r="L72" s="63"/>
      <c r="M72" s="81"/>
    </row>
    <row r="73" spans="1:13" s="44" customFormat="1" x14ac:dyDescent="0.2">
      <c r="A73" s="17" t="str">
        <f>IF(F73&lt;&gt;"",1+MAX($A$6:A72),"")</f>
        <v/>
      </c>
      <c r="B73" s="2"/>
      <c r="C73" s="2"/>
      <c r="D73" s="39"/>
      <c r="E73" s="69" t="s">
        <v>36</v>
      </c>
      <c r="F73" s="34"/>
      <c r="G73" s="38"/>
      <c r="H73" s="35"/>
      <c r="I73" s="36"/>
      <c r="J73" s="52"/>
      <c r="K73" s="42"/>
      <c r="L73" s="63"/>
      <c r="M73" s="81"/>
    </row>
    <row r="74" spans="1:13" s="44" customFormat="1" x14ac:dyDescent="0.2">
      <c r="A74" s="17">
        <f>IF(F74&lt;&gt;"",1+MAX($A$6:A73),"")</f>
        <v>52</v>
      </c>
      <c r="B74" s="2" t="s">
        <v>23</v>
      </c>
      <c r="C74" s="2"/>
      <c r="D74" s="39"/>
      <c r="E74" s="40" t="s">
        <v>42</v>
      </c>
      <c r="F74" s="34">
        <f>33*4*0.5*6.6+40*4*0.5*6.6+297.1*6.6+102.5*6.6+(7*0.5*6.6)</f>
        <v>3624.06</v>
      </c>
      <c r="G74" s="38">
        <v>0.05</v>
      </c>
      <c r="H74" s="35">
        <f>F74*(1+G74)</f>
        <v>3805.2629999999999</v>
      </c>
      <c r="I74" s="36" t="s">
        <v>21</v>
      </c>
      <c r="J74" s="52">
        <f>J$10</f>
        <v>0</v>
      </c>
      <c r="K74" s="42">
        <f>J74*H74</f>
        <v>0</v>
      </c>
      <c r="L74" s="63"/>
      <c r="M74" s="81"/>
    </row>
    <row r="75" spans="1:13" s="44" customFormat="1" x14ac:dyDescent="0.2">
      <c r="A75" s="17">
        <f>IF(F75&lt;&gt;"",1+MAX($A$6:A74),"")</f>
        <v>53</v>
      </c>
      <c r="B75" s="2" t="s">
        <v>23</v>
      </c>
      <c r="C75" s="2"/>
      <c r="D75" s="39"/>
      <c r="E75" s="40" t="s">
        <v>109</v>
      </c>
      <c r="F75" s="34">
        <f>57.6*4.9</f>
        <v>282.24</v>
      </c>
      <c r="G75" s="38">
        <v>0.05</v>
      </c>
      <c r="H75" s="35">
        <f>F75*(1+G75)</f>
        <v>296.35200000000003</v>
      </c>
      <c r="I75" s="36" t="s">
        <v>21</v>
      </c>
      <c r="J75" s="52">
        <f>J$10</f>
        <v>0</v>
      </c>
      <c r="K75" s="42">
        <f>J75*H75</f>
        <v>0</v>
      </c>
      <c r="L75" s="63"/>
      <c r="M75" s="81"/>
    </row>
    <row r="76" spans="1:13" s="44" customFormat="1" x14ac:dyDescent="0.2">
      <c r="A76" s="17">
        <f>IF(F76&lt;&gt;"",1+MAX($A$6:A75),"")</f>
        <v>54</v>
      </c>
      <c r="B76" s="2" t="s">
        <v>23</v>
      </c>
      <c r="C76" s="2"/>
      <c r="D76" s="39"/>
      <c r="E76" s="40" t="s">
        <v>110</v>
      </c>
      <c r="F76" s="34">
        <f>25.1*8.2</f>
        <v>205.82</v>
      </c>
      <c r="G76" s="38">
        <v>0.05</v>
      </c>
      <c r="H76" s="35">
        <f>F76*(1+G76)</f>
        <v>216.11099999999999</v>
      </c>
      <c r="I76" s="36" t="s">
        <v>21</v>
      </c>
      <c r="J76" s="52">
        <f>J$10</f>
        <v>0</v>
      </c>
      <c r="K76" s="42">
        <f>J76*H76</f>
        <v>0</v>
      </c>
      <c r="L76" s="63"/>
      <c r="M76" s="81"/>
    </row>
    <row r="77" spans="1:13" s="44" customFormat="1" x14ac:dyDescent="0.2">
      <c r="A77" s="17">
        <f>IF(F77&lt;&gt;"",1+MAX($A$6:A76),"")</f>
        <v>55</v>
      </c>
      <c r="B77" s="2" t="s">
        <v>23</v>
      </c>
      <c r="C77" s="2"/>
      <c r="D77" s="39"/>
      <c r="E77" s="40" t="s">
        <v>111</v>
      </c>
      <c r="F77" s="34">
        <f>48.4*12.3</f>
        <v>595.32000000000005</v>
      </c>
      <c r="G77" s="38">
        <v>0.05</v>
      </c>
      <c r="H77" s="35">
        <f>F77*(1+G77)</f>
        <v>625.08600000000013</v>
      </c>
      <c r="I77" s="36" t="s">
        <v>21</v>
      </c>
      <c r="J77" s="52">
        <f>J$10</f>
        <v>0</v>
      </c>
      <c r="K77" s="42">
        <f>J77*H77</f>
        <v>0</v>
      </c>
      <c r="L77" s="63"/>
      <c r="M77" s="81"/>
    </row>
    <row r="78" spans="1:13" s="44" customFormat="1" x14ac:dyDescent="0.2">
      <c r="A78" s="17">
        <f>IF(F78&lt;&gt;"",1+MAX($A$6:A77),"")</f>
        <v>56</v>
      </c>
      <c r="B78" s="2" t="s">
        <v>23</v>
      </c>
      <c r="C78" s="2"/>
      <c r="D78" s="39"/>
      <c r="E78" s="40" t="s">
        <v>117</v>
      </c>
      <c r="F78" s="34">
        <f>13*0.334*2*4.7</f>
        <v>40.814800000000005</v>
      </c>
      <c r="G78" s="38">
        <v>0.05</v>
      </c>
      <c r="H78" s="35">
        <f>F78*(1+G78)</f>
        <v>42.855540000000005</v>
      </c>
      <c r="I78" s="36" t="s">
        <v>21</v>
      </c>
      <c r="J78" s="52">
        <f>J$10</f>
        <v>0</v>
      </c>
      <c r="K78" s="42">
        <f>J78*H78</f>
        <v>0</v>
      </c>
      <c r="L78" s="63"/>
      <c r="M78" s="81"/>
    </row>
    <row r="79" spans="1:13" s="44" customFormat="1" x14ac:dyDescent="0.2">
      <c r="A79" s="17" t="str">
        <f>IF(F79&lt;&gt;"",1+MAX($A$6:A78),"")</f>
        <v/>
      </c>
      <c r="B79" s="2"/>
      <c r="C79" s="2"/>
      <c r="D79" s="39"/>
      <c r="E79" s="40"/>
      <c r="F79" s="34"/>
      <c r="G79" s="38"/>
      <c r="H79" s="35"/>
      <c r="I79" s="36"/>
      <c r="J79" s="52"/>
      <c r="K79" s="42"/>
      <c r="L79" s="63"/>
      <c r="M79" s="81"/>
    </row>
    <row r="80" spans="1:13" s="44" customFormat="1" x14ac:dyDescent="0.2">
      <c r="A80" s="17" t="str">
        <f>IF(F80&lt;&gt;"",1+MAX($A$6:A79),"")</f>
        <v/>
      </c>
      <c r="B80" s="2"/>
      <c r="C80" s="2"/>
      <c r="D80" s="39"/>
      <c r="E80" s="69" t="s">
        <v>45</v>
      </c>
      <c r="F80" s="34"/>
      <c r="G80" s="38"/>
      <c r="H80" s="35"/>
      <c r="I80" s="36"/>
      <c r="J80" s="52"/>
      <c r="K80" s="42"/>
      <c r="L80" s="63"/>
      <c r="M80" s="81"/>
    </row>
    <row r="81" spans="1:13" s="44" customFormat="1" x14ac:dyDescent="0.2">
      <c r="A81" s="17">
        <f>IF(F81&lt;&gt;"",1+MAX($A$6:A80),"")</f>
        <v>57</v>
      </c>
      <c r="B81" s="2" t="s">
        <v>23</v>
      </c>
      <c r="C81" s="2" t="s">
        <v>48</v>
      </c>
      <c r="D81" s="39"/>
      <c r="E81" s="40" t="s">
        <v>47</v>
      </c>
      <c r="F81" s="34">
        <f>1284.6+15804.2</f>
        <v>17088.8</v>
      </c>
      <c r="G81" s="38">
        <v>0.05</v>
      </c>
      <c r="H81" s="35">
        <f>F81*(1+G81)</f>
        <v>17943.240000000002</v>
      </c>
      <c r="I81" s="36" t="s">
        <v>46</v>
      </c>
      <c r="J81" s="133">
        <v>0</v>
      </c>
      <c r="K81" s="42">
        <f>J81*H81</f>
        <v>0</v>
      </c>
      <c r="L81" s="63"/>
      <c r="M81" s="81"/>
    </row>
    <row r="82" spans="1:13" s="44" customFormat="1" x14ac:dyDescent="0.2">
      <c r="A82" s="17">
        <f>IF(F82&lt;&gt;"",1+MAX($A$6:A81),"")</f>
        <v>58</v>
      </c>
      <c r="B82" s="2" t="s">
        <v>23</v>
      </c>
      <c r="C82" s="2" t="s">
        <v>52</v>
      </c>
      <c r="D82" s="39"/>
      <c r="E82" s="40" t="s">
        <v>53</v>
      </c>
      <c r="F82" s="34">
        <v>1758</v>
      </c>
      <c r="G82" s="38">
        <v>0.05</v>
      </c>
      <c r="H82" s="35">
        <f>F82*(1+G82)</f>
        <v>1845.9</v>
      </c>
      <c r="I82" s="36" t="s">
        <v>46</v>
      </c>
      <c r="J82" s="133">
        <v>0</v>
      </c>
      <c r="K82" s="42">
        <f>J82*H82</f>
        <v>0</v>
      </c>
      <c r="L82" s="63"/>
      <c r="M82" s="81"/>
    </row>
    <row r="83" spans="1:13" s="1" customFormat="1" ht="16.5" thickBot="1" x14ac:dyDescent="0.25">
      <c r="A83" s="17" t="str">
        <f>IF(F83&lt;&gt;"",1+MAX($A$6:A82),"")</f>
        <v/>
      </c>
      <c r="B83" s="2"/>
      <c r="C83" s="2"/>
      <c r="D83" s="2"/>
      <c r="E83" s="40"/>
      <c r="F83" s="34"/>
      <c r="G83" s="38"/>
      <c r="H83" s="35"/>
      <c r="I83" s="36"/>
      <c r="J83" s="52"/>
      <c r="K83" s="42"/>
      <c r="L83" s="63"/>
      <c r="M83" s="79"/>
    </row>
    <row r="84" spans="1:13" s="1" customFormat="1" ht="16.5" thickBot="1" x14ac:dyDescent="0.25">
      <c r="A84" s="17" t="str">
        <f>IF(F84&lt;&gt;"",1+MAX($A$6:A83),"")</f>
        <v/>
      </c>
      <c r="B84" s="23"/>
      <c r="C84" s="48"/>
      <c r="D84" s="49"/>
      <c r="E84" s="71" t="s">
        <v>60</v>
      </c>
      <c r="F84" s="68"/>
      <c r="G84" s="61"/>
      <c r="H84" s="29"/>
      <c r="I84" s="30"/>
      <c r="J84" s="51"/>
      <c r="K84" s="27"/>
      <c r="L84" s="63"/>
      <c r="M84" s="79"/>
    </row>
    <row r="85" spans="1:13" s="44" customFormat="1" x14ac:dyDescent="0.2">
      <c r="A85" s="17" t="str">
        <f>IF(F85&lt;&gt;"",1+MAX($A$6:A84),"")</f>
        <v/>
      </c>
      <c r="B85" s="2"/>
      <c r="C85" s="2"/>
      <c r="D85" s="39"/>
      <c r="E85" s="69" t="s">
        <v>229</v>
      </c>
      <c r="F85" s="34"/>
      <c r="G85" s="38"/>
      <c r="H85" s="35"/>
      <c r="I85" s="36"/>
      <c r="J85" s="52"/>
      <c r="K85" s="42"/>
      <c r="L85" s="63"/>
      <c r="M85" s="81"/>
    </row>
    <row r="86" spans="1:13" s="44" customFormat="1" ht="47.25" x14ac:dyDescent="0.2">
      <c r="A86" s="17">
        <f>IF(F86&lt;&gt;"",1+MAX($A$6:A85),"")</f>
        <v>59</v>
      </c>
      <c r="B86" s="2" t="s">
        <v>23</v>
      </c>
      <c r="C86" s="2" t="s">
        <v>24</v>
      </c>
      <c r="D86" s="39"/>
      <c r="E86" s="40" t="s">
        <v>262</v>
      </c>
      <c r="F86" s="34">
        <f>(1*13+1*20.42)*27.48</f>
        <v>918.38160000000005</v>
      </c>
      <c r="G86" s="38">
        <v>0.05</v>
      </c>
      <c r="H86" s="35">
        <f t="shared" ref="H86:H95" si="13">F86*(1+G86)</f>
        <v>964.30068000000006</v>
      </c>
      <c r="I86" s="36" t="s">
        <v>21</v>
      </c>
      <c r="J86" s="52">
        <f t="shared" ref="J86:J95" si="14">J$10</f>
        <v>0</v>
      </c>
      <c r="K86" s="42">
        <f t="shared" ref="K86:K95" si="15">J86*H86</f>
        <v>0</v>
      </c>
      <c r="L86" s="63"/>
      <c r="M86" s="81"/>
    </row>
    <row r="87" spans="1:13" s="1" customFormat="1" ht="47.25" x14ac:dyDescent="0.2">
      <c r="A87" s="17">
        <f>IF(F87&lt;&gt;"",1+MAX($A$6:A86),"")</f>
        <v>60</v>
      </c>
      <c r="B87" s="2" t="s">
        <v>23</v>
      </c>
      <c r="C87" s="2" t="s">
        <v>24</v>
      </c>
      <c r="D87" s="24"/>
      <c r="E87" s="40" t="s">
        <v>261</v>
      </c>
      <c r="F87" s="34">
        <f>(4*13)*50.81</f>
        <v>2642.12</v>
      </c>
      <c r="G87" s="38">
        <v>0.05</v>
      </c>
      <c r="H87" s="35">
        <f t="shared" si="13"/>
        <v>2774.2260000000001</v>
      </c>
      <c r="I87" s="36" t="s">
        <v>21</v>
      </c>
      <c r="J87" s="52">
        <f t="shared" si="14"/>
        <v>0</v>
      </c>
      <c r="K87" s="42">
        <f t="shared" si="15"/>
        <v>0</v>
      </c>
      <c r="L87" s="63"/>
      <c r="M87" s="79"/>
    </row>
    <row r="88" spans="1:13" s="1" customFormat="1" ht="47.25" x14ac:dyDescent="0.2">
      <c r="A88" s="17">
        <f>IF(F88&lt;&gt;"",1+MAX($A$6:A87),"")</f>
        <v>61</v>
      </c>
      <c r="B88" s="2" t="s">
        <v>23</v>
      </c>
      <c r="C88" s="2" t="s">
        <v>24</v>
      </c>
      <c r="D88" s="24"/>
      <c r="E88" s="40" t="s">
        <v>260</v>
      </c>
      <c r="F88" s="34">
        <f>(3*19)*76.07</f>
        <v>4335.99</v>
      </c>
      <c r="G88" s="38">
        <v>0.05</v>
      </c>
      <c r="H88" s="35">
        <f t="shared" si="13"/>
        <v>4552.7894999999999</v>
      </c>
      <c r="I88" s="36" t="s">
        <v>21</v>
      </c>
      <c r="J88" s="52">
        <f t="shared" si="14"/>
        <v>0</v>
      </c>
      <c r="K88" s="42">
        <f t="shared" si="15"/>
        <v>0</v>
      </c>
      <c r="L88" s="63"/>
      <c r="M88" s="79"/>
    </row>
    <row r="89" spans="1:13" s="1" customFormat="1" ht="47.25" x14ac:dyDescent="0.2">
      <c r="A89" s="17">
        <f>IF(F89&lt;&gt;"",1+MAX($A$6:A88),"")</f>
        <v>62</v>
      </c>
      <c r="B89" s="2" t="s">
        <v>23</v>
      </c>
      <c r="C89" s="2" t="s">
        <v>24</v>
      </c>
      <c r="D89" s="24"/>
      <c r="E89" s="40" t="s">
        <v>259</v>
      </c>
      <c r="F89" s="34">
        <f>(2*19*72)</f>
        <v>2736</v>
      </c>
      <c r="G89" s="38">
        <v>0.05</v>
      </c>
      <c r="H89" s="35">
        <f t="shared" si="13"/>
        <v>2872.8</v>
      </c>
      <c r="I89" s="36" t="s">
        <v>21</v>
      </c>
      <c r="J89" s="52">
        <f t="shared" si="14"/>
        <v>0</v>
      </c>
      <c r="K89" s="42">
        <f t="shared" si="15"/>
        <v>0</v>
      </c>
      <c r="L89" s="63"/>
      <c r="M89" s="79"/>
    </row>
    <row r="90" spans="1:13" s="1" customFormat="1" ht="47.25" x14ac:dyDescent="0.2">
      <c r="A90" s="17">
        <f>IF(F90&lt;&gt;"",1+MAX($A$6:A89),"")</f>
        <v>63</v>
      </c>
      <c r="B90" s="2" t="s">
        <v>23</v>
      </c>
      <c r="C90" s="2" t="s">
        <v>24</v>
      </c>
      <c r="D90" s="24"/>
      <c r="E90" s="40" t="s">
        <v>254</v>
      </c>
      <c r="F90" s="34">
        <f>2*19*62.46</f>
        <v>2373.48</v>
      </c>
      <c r="G90" s="38">
        <v>0.05</v>
      </c>
      <c r="H90" s="35">
        <f t="shared" si="13"/>
        <v>2492.154</v>
      </c>
      <c r="I90" s="36" t="s">
        <v>21</v>
      </c>
      <c r="J90" s="52">
        <f t="shared" si="14"/>
        <v>0</v>
      </c>
      <c r="K90" s="42">
        <f t="shared" si="15"/>
        <v>0</v>
      </c>
      <c r="L90" s="63"/>
      <c r="M90" s="79"/>
    </row>
    <row r="91" spans="1:13" s="1" customFormat="1" ht="47.25" x14ac:dyDescent="0.2">
      <c r="A91" s="17">
        <f>IF(F91&lt;&gt;"",1+MAX($A$6:A90),"")</f>
        <v>64</v>
      </c>
      <c r="B91" s="2" t="s">
        <v>23</v>
      </c>
      <c r="C91" s="2" t="s">
        <v>24</v>
      </c>
      <c r="D91" s="24"/>
      <c r="E91" s="40" t="s">
        <v>255</v>
      </c>
      <c r="F91" s="34">
        <f>1*20.42*25.82</f>
        <v>527.24440000000004</v>
      </c>
      <c r="G91" s="38">
        <v>0.05</v>
      </c>
      <c r="H91" s="35">
        <f t="shared" si="13"/>
        <v>553.60662000000002</v>
      </c>
      <c r="I91" s="36" t="s">
        <v>21</v>
      </c>
      <c r="J91" s="52">
        <f t="shared" si="14"/>
        <v>0</v>
      </c>
      <c r="K91" s="42">
        <f t="shared" si="15"/>
        <v>0</v>
      </c>
      <c r="L91" s="63"/>
      <c r="M91" s="79"/>
    </row>
    <row r="92" spans="1:13" s="1" customFormat="1" ht="47.25" x14ac:dyDescent="0.2">
      <c r="A92" s="17">
        <f>IF(F92&lt;&gt;"",1+MAX($A$6:A91),"")</f>
        <v>65</v>
      </c>
      <c r="B92" s="2" t="s">
        <v>23</v>
      </c>
      <c r="C92" s="2" t="s">
        <v>24</v>
      </c>
      <c r="D92" s="24"/>
      <c r="E92" s="84" t="s">
        <v>256</v>
      </c>
      <c r="F92" s="34">
        <f>2*20.42*39.43</f>
        <v>1610.3212000000001</v>
      </c>
      <c r="G92" s="38">
        <v>0.05</v>
      </c>
      <c r="H92" s="35">
        <f t="shared" si="13"/>
        <v>1690.8372600000002</v>
      </c>
      <c r="I92" s="36" t="s">
        <v>21</v>
      </c>
      <c r="J92" s="52">
        <f t="shared" si="14"/>
        <v>0</v>
      </c>
      <c r="K92" s="42">
        <f t="shared" si="15"/>
        <v>0</v>
      </c>
      <c r="L92" s="63"/>
      <c r="M92" s="79"/>
    </row>
    <row r="93" spans="1:13" s="1" customFormat="1" ht="47.25" x14ac:dyDescent="0.2">
      <c r="A93" s="17">
        <f>IF(F93&lt;&gt;"",1+MAX($A$6:A92),"")</f>
        <v>66</v>
      </c>
      <c r="B93" s="2" t="s">
        <v>23</v>
      </c>
      <c r="C93" s="2" t="s">
        <v>24</v>
      </c>
      <c r="D93" s="24"/>
      <c r="E93" s="40" t="s">
        <v>257</v>
      </c>
      <c r="F93" s="34">
        <f>1*13*27.48</f>
        <v>357.24</v>
      </c>
      <c r="G93" s="38">
        <v>0.05</v>
      </c>
      <c r="H93" s="35">
        <f t="shared" si="13"/>
        <v>375.10200000000003</v>
      </c>
      <c r="I93" s="36" t="s">
        <v>21</v>
      </c>
      <c r="J93" s="52">
        <f t="shared" si="14"/>
        <v>0</v>
      </c>
      <c r="K93" s="42">
        <f t="shared" si="15"/>
        <v>0</v>
      </c>
      <c r="L93" s="63"/>
      <c r="M93" s="79"/>
    </row>
    <row r="94" spans="1:13" s="1" customFormat="1" ht="47.25" x14ac:dyDescent="0.2">
      <c r="A94" s="17">
        <f>IF(F94&lt;&gt;"",1+MAX($A$6:A93),"")</f>
        <v>67</v>
      </c>
      <c r="B94" s="2" t="s">
        <v>23</v>
      </c>
      <c r="C94" s="2" t="s">
        <v>24</v>
      </c>
      <c r="D94" s="24"/>
      <c r="E94" s="40" t="s">
        <v>258</v>
      </c>
      <c r="F94" s="34">
        <f>4*18*37.69</f>
        <v>2713.68</v>
      </c>
      <c r="G94" s="38">
        <v>0.05</v>
      </c>
      <c r="H94" s="35">
        <f t="shared" si="13"/>
        <v>2849.364</v>
      </c>
      <c r="I94" s="36" t="s">
        <v>21</v>
      </c>
      <c r="J94" s="52">
        <f t="shared" si="14"/>
        <v>0</v>
      </c>
      <c r="K94" s="42">
        <f t="shared" si="15"/>
        <v>0</v>
      </c>
      <c r="L94" s="63"/>
      <c r="M94" s="79"/>
    </row>
    <row r="95" spans="1:13" s="1" customFormat="1" ht="47.25" x14ac:dyDescent="0.2">
      <c r="A95" s="17">
        <f>IF(F95&lt;&gt;"",1+MAX($A$6:A94),"")</f>
        <v>68</v>
      </c>
      <c r="B95" s="2" t="s">
        <v>23</v>
      </c>
      <c r="C95" s="2" t="s">
        <v>24</v>
      </c>
      <c r="D95" s="24"/>
      <c r="E95" s="40" t="s">
        <v>249</v>
      </c>
      <c r="F95" s="34">
        <f>23*9.5*27.48</f>
        <v>6004.38</v>
      </c>
      <c r="G95" s="38">
        <v>0.05</v>
      </c>
      <c r="H95" s="35">
        <f t="shared" si="13"/>
        <v>6304.5990000000002</v>
      </c>
      <c r="I95" s="36" t="s">
        <v>21</v>
      </c>
      <c r="J95" s="52">
        <f t="shared" si="14"/>
        <v>0</v>
      </c>
      <c r="K95" s="42">
        <f t="shared" si="15"/>
        <v>0</v>
      </c>
      <c r="L95" s="63"/>
      <c r="M95" s="79"/>
    </row>
    <row r="96" spans="1:13" s="1" customFormat="1" x14ac:dyDescent="0.2">
      <c r="A96" s="17" t="str">
        <f>IF(F96&lt;&gt;"",1+MAX($A$6:A95),"")</f>
        <v/>
      </c>
      <c r="B96" s="2"/>
      <c r="C96" s="2"/>
      <c r="D96" s="24"/>
      <c r="E96" s="40"/>
      <c r="F96" s="34"/>
      <c r="G96" s="38"/>
      <c r="H96" s="35"/>
      <c r="I96" s="36"/>
      <c r="J96" s="52"/>
      <c r="K96" s="42"/>
      <c r="L96" s="63"/>
      <c r="M96" s="79"/>
    </row>
    <row r="97" spans="1:13" s="44" customFormat="1" x14ac:dyDescent="0.2">
      <c r="A97" s="17" t="str">
        <f>IF(F97&lt;&gt;"",1+MAX($A$6:A96),"")</f>
        <v/>
      </c>
      <c r="B97" s="2"/>
      <c r="C97" s="2"/>
      <c r="D97" s="39"/>
      <c r="E97" s="69" t="s">
        <v>38</v>
      </c>
      <c r="F97" s="34"/>
      <c r="G97" s="38"/>
      <c r="H97" s="35"/>
      <c r="I97" s="36"/>
      <c r="J97" s="52"/>
      <c r="K97" s="42"/>
      <c r="L97" s="63"/>
      <c r="M97" s="81"/>
    </row>
    <row r="98" spans="1:13" s="44" customFormat="1" x14ac:dyDescent="0.2">
      <c r="A98" s="17">
        <f>IF(F98&lt;&gt;"",1+MAX($A$6:A97),"")</f>
        <v>69</v>
      </c>
      <c r="B98" s="2" t="s">
        <v>23</v>
      </c>
      <c r="C98" s="2"/>
      <c r="D98" s="39"/>
      <c r="E98" s="40" t="s">
        <v>39</v>
      </c>
      <c r="F98" s="34">
        <f>9+11+17+16</f>
        <v>53</v>
      </c>
      <c r="G98" s="38">
        <v>0</v>
      </c>
      <c r="H98" s="35">
        <f t="shared" ref="H98:H108" si="16">F98*(1+G98)</f>
        <v>53</v>
      </c>
      <c r="I98" s="36" t="s">
        <v>17</v>
      </c>
      <c r="J98" s="52">
        <f>J$38</f>
        <v>0</v>
      </c>
      <c r="K98" s="42">
        <f t="shared" ref="K98:K108" si="17">J98*H98</f>
        <v>0</v>
      </c>
      <c r="L98" s="63"/>
      <c r="M98" s="81"/>
    </row>
    <row r="99" spans="1:13" s="44" customFormat="1" x14ac:dyDescent="0.2">
      <c r="A99" s="17">
        <f>IF(F99&lt;&gt;"",1+MAX($A$6:A98),"")</f>
        <v>70</v>
      </c>
      <c r="B99" s="2" t="s">
        <v>23</v>
      </c>
      <c r="C99" s="2"/>
      <c r="D99" s="39"/>
      <c r="E99" s="40" t="s">
        <v>43</v>
      </c>
      <c r="F99" s="34">
        <v>23</v>
      </c>
      <c r="G99" s="38">
        <v>0</v>
      </c>
      <c r="H99" s="35">
        <f t="shared" si="16"/>
        <v>23</v>
      </c>
      <c r="I99" s="36" t="s">
        <v>17</v>
      </c>
      <c r="J99" s="52">
        <f>J$39</f>
        <v>0</v>
      </c>
      <c r="K99" s="42">
        <f t="shared" si="17"/>
        <v>0</v>
      </c>
      <c r="L99" s="63"/>
      <c r="M99" s="81"/>
    </row>
    <row r="100" spans="1:13" s="44" customFormat="1" x14ac:dyDescent="0.2">
      <c r="A100" s="17">
        <f>IF(F100&lt;&gt;"",1+MAX($A$6:A99),"")</f>
        <v>71</v>
      </c>
      <c r="B100" s="2" t="s">
        <v>23</v>
      </c>
      <c r="C100" s="2"/>
      <c r="D100" s="39"/>
      <c r="E100" s="40" t="s">
        <v>57</v>
      </c>
      <c r="F100" s="34">
        <f>(692.5+58.1)/4+1</f>
        <v>188.65</v>
      </c>
      <c r="G100" s="38">
        <v>0</v>
      </c>
      <c r="H100" s="35">
        <f t="shared" si="16"/>
        <v>188.65</v>
      </c>
      <c r="I100" s="36" t="s">
        <v>17</v>
      </c>
      <c r="J100" s="133">
        <v>0</v>
      </c>
      <c r="K100" s="42">
        <f t="shared" si="17"/>
        <v>0</v>
      </c>
      <c r="L100" s="63"/>
      <c r="M100" s="81"/>
    </row>
    <row r="101" spans="1:13" s="44" customFormat="1" x14ac:dyDescent="0.2">
      <c r="A101" s="17">
        <f>IF(F101&lt;&gt;"",1+MAX($A$6:A100),"")</f>
        <v>72</v>
      </c>
      <c r="B101" s="2" t="s">
        <v>23</v>
      </c>
      <c r="C101" s="2"/>
      <c r="D101" s="39"/>
      <c r="E101" s="40" t="s">
        <v>50</v>
      </c>
      <c r="F101" s="34">
        <f>((503)/4+1)+27</f>
        <v>153.75</v>
      </c>
      <c r="G101" s="38">
        <v>0</v>
      </c>
      <c r="H101" s="35">
        <f>F101*(1+G101)</f>
        <v>153.75</v>
      </c>
      <c r="I101" s="36" t="s">
        <v>17</v>
      </c>
      <c r="J101" s="52">
        <f>J$40</f>
        <v>0</v>
      </c>
      <c r="K101" s="42">
        <f>J101*H101</f>
        <v>0</v>
      </c>
      <c r="L101" s="63"/>
      <c r="M101" s="81"/>
    </row>
    <row r="102" spans="1:13" s="44" customFormat="1" x14ac:dyDescent="0.2">
      <c r="A102" s="17">
        <f>IF(F102&lt;&gt;"",1+MAX($A$6:A101),"")</f>
        <v>73</v>
      </c>
      <c r="B102" s="2" t="s">
        <v>23</v>
      </c>
      <c r="C102" s="2"/>
      <c r="D102" s="39"/>
      <c r="E102" s="84" t="s">
        <v>94</v>
      </c>
      <c r="F102" s="34">
        <f>(1030*2+427.2*2+3415.9*2)/4+1</f>
        <v>2437.5500000000002</v>
      </c>
      <c r="G102" s="38">
        <v>0</v>
      </c>
      <c r="H102" s="35">
        <f t="shared" si="16"/>
        <v>2437.5500000000002</v>
      </c>
      <c r="I102" s="36" t="s">
        <v>17</v>
      </c>
      <c r="J102" s="52">
        <f>J$43</f>
        <v>0</v>
      </c>
      <c r="K102" s="42">
        <f t="shared" si="17"/>
        <v>0</v>
      </c>
      <c r="L102" s="63"/>
      <c r="M102" s="81"/>
    </row>
    <row r="103" spans="1:13" s="44" customFormat="1" x14ac:dyDescent="0.2">
      <c r="A103" s="17">
        <f>IF(F103&lt;&gt;"",1+MAX($A$6:A102),"")</f>
        <v>74</v>
      </c>
      <c r="B103" s="2" t="s">
        <v>23</v>
      </c>
      <c r="C103" s="2"/>
      <c r="D103" s="39"/>
      <c r="E103" s="40" t="s">
        <v>51</v>
      </c>
      <c r="F103" s="34">
        <f>140.7+101.8</f>
        <v>242.5</v>
      </c>
      <c r="G103" s="38">
        <v>0.05</v>
      </c>
      <c r="H103" s="35">
        <f t="shared" si="16"/>
        <v>254.625</v>
      </c>
      <c r="I103" s="36" t="s">
        <v>44</v>
      </c>
      <c r="J103" s="52">
        <f>J$42</f>
        <v>0</v>
      </c>
      <c r="K103" s="42">
        <f t="shared" si="17"/>
        <v>0</v>
      </c>
      <c r="L103" s="63"/>
      <c r="M103" s="81"/>
    </row>
    <row r="104" spans="1:13" s="44" customFormat="1" x14ac:dyDescent="0.2">
      <c r="A104" s="17">
        <f>IF(F104&lt;&gt;"",1+MAX($A$6:A103),"")</f>
        <v>75</v>
      </c>
      <c r="B104" s="2" t="s">
        <v>23</v>
      </c>
      <c r="C104" s="2"/>
      <c r="D104" s="39"/>
      <c r="E104" s="40" t="s">
        <v>56</v>
      </c>
      <c r="F104" s="34">
        <f>692.5+58.1</f>
        <v>750.6</v>
      </c>
      <c r="G104" s="38">
        <v>0.05</v>
      </c>
      <c r="H104" s="35">
        <f t="shared" si="16"/>
        <v>788.13000000000011</v>
      </c>
      <c r="I104" s="36" t="s">
        <v>44</v>
      </c>
      <c r="J104" s="133">
        <v>0</v>
      </c>
      <c r="K104" s="42">
        <f t="shared" si="17"/>
        <v>0</v>
      </c>
      <c r="L104" s="63"/>
      <c r="M104" s="81"/>
    </row>
    <row r="105" spans="1:13" s="44" customFormat="1" x14ac:dyDescent="0.2">
      <c r="A105" s="17">
        <f>IF(F105&lt;&gt;"",1+MAX($A$6:A104),"")</f>
        <v>76</v>
      </c>
      <c r="B105" s="2" t="s">
        <v>23</v>
      </c>
      <c r="C105" s="2"/>
      <c r="D105" s="39"/>
      <c r="E105" s="40" t="s">
        <v>62</v>
      </c>
      <c r="F105" s="34">
        <v>628.29999999999995</v>
      </c>
      <c r="G105" s="38">
        <v>0.05</v>
      </c>
      <c r="H105" s="35">
        <f t="shared" si="16"/>
        <v>659.71500000000003</v>
      </c>
      <c r="I105" s="36" t="s">
        <v>44</v>
      </c>
      <c r="J105" s="133">
        <v>0</v>
      </c>
      <c r="K105" s="42">
        <f t="shared" si="17"/>
        <v>0</v>
      </c>
      <c r="L105" s="63"/>
      <c r="M105" s="81"/>
    </row>
    <row r="106" spans="1:13" s="44" customFormat="1" x14ac:dyDescent="0.2">
      <c r="A106" s="17">
        <f>IF(F106&lt;&gt;"",1+MAX($A$6:A105),"")</f>
        <v>77</v>
      </c>
      <c r="B106" s="2" t="s">
        <v>23</v>
      </c>
      <c r="C106" s="2"/>
      <c r="D106" s="39"/>
      <c r="E106" s="40" t="s">
        <v>63</v>
      </c>
      <c r="F106" s="34">
        <f>628.3+384.4</f>
        <v>1012.6999999999999</v>
      </c>
      <c r="G106" s="38">
        <v>0.05</v>
      </c>
      <c r="H106" s="35">
        <f t="shared" si="16"/>
        <v>1063.335</v>
      </c>
      <c r="I106" s="36" t="s">
        <v>44</v>
      </c>
      <c r="J106" s="52">
        <f>J$41</f>
        <v>0</v>
      </c>
      <c r="K106" s="42">
        <f t="shared" si="17"/>
        <v>0</v>
      </c>
      <c r="L106" s="63"/>
      <c r="M106" s="81"/>
    </row>
    <row r="107" spans="1:13" s="44" customFormat="1" x14ac:dyDescent="0.2">
      <c r="A107" s="17">
        <f>IF(F107&lt;&gt;"",1+MAX($A$6:A106),"")</f>
        <v>78</v>
      </c>
      <c r="B107" s="2" t="s">
        <v>23</v>
      </c>
      <c r="C107" s="2" t="s">
        <v>93</v>
      </c>
      <c r="D107" s="39"/>
      <c r="E107" s="40" t="s">
        <v>63</v>
      </c>
      <c r="F107" s="34">
        <f>(399.1*2+1674.7)</f>
        <v>2472.9</v>
      </c>
      <c r="G107" s="38">
        <v>0.05</v>
      </c>
      <c r="H107" s="35">
        <f t="shared" si="16"/>
        <v>2596.5450000000001</v>
      </c>
      <c r="I107" s="36" t="s">
        <v>44</v>
      </c>
      <c r="J107" s="52">
        <f>J$41</f>
        <v>0</v>
      </c>
      <c r="K107" s="42">
        <f t="shared" si="17"/>
        <v>0</v>
      </c>
      <c r="L107" s="63"/>
      <c r="M107" s="81"/>
    </row>
    <row r="108" spans="1:13" s="44" customFormat="1" x14ac:dyDescent="0.2">
      <c r="A108" s="17">
        <f>IF(F108&lt;&gt;"",1+MAX($A$6:A107),"")</f>
        <v>79</v>
      </c>
      <c r="B108" s="2" t="s">
        <v>23</v>
      </c>
      <c r="C108" s="2" t="s">
        <v>93</v>
      </c>
      <c r="D108" s="39"/>
      <c r="E108" s="40" t="s">
        <v>92</v>
      </c>
      <c r="F108" s="34">
        <f>(399.1+478*2)*0.334</f>
        <v>452.60340000000002</v>
      </c>
      <c r="G108" s="38">
        <v>0.05</v>
      </c>
      <c r="H108" s="35">
        <f t="shared" si="16"/>
        <v>475.23357000000004</v>
      </c>
      <c r="I108" s="36" t="s">
        <v>44</v>
      </c>
      <c r="J108" s="52">
        <f>J$41</f>
        <v>0</v>
      </c>
      <c r="K108" s="42">
        <f t="shared" si="17"/>
        <v>0</v>
      </c>
      <c r="L108" s="63"/>
      <c r="M108" s="81"/>
    </row>
    <row r="109" spans="1:13" s="44" customFormat="1" x14ac:dyDescent="0.2">
      <c r="A109" s="17" t="str">
        <f>IF(F109&lt;&gt;"",1+MAX($A$6:A108),"")</f>
        <v/>
      </c>
      <c r="B109" s="2"/>
      <c r="C109" s="2"/>
      <c r="D109" s="39"/>
      <c r="E109" s="40"/>
      <c r="F109" s="34"/>
      <c r="G109" s="38"/>
      <c r="H109" s="35"/>
      <c r="I109" s="36"/>
      <c r="J109" s="52"/>
      <c r="K109" s="42"/>
      <c r="L109" s="63"/>
      <c r="M109" s="81"/>
    </row>
    <row r="110" spans="1:13" s="1" customFormat="1" x14ac:dyDescent="0.2">
      <c r="A110" s="17" t="str">
        <f>IF(F110&lt;&gt;"",1+MAX($A$6:A109),"")</f>
        <v/>
      </c>
      <c r="B110" s="2"/>
      <c r="C110" s="2"/>
      <c r="D110" s="24"/>
      <c r="E110" s="40"/>
      <c r="F110" s="34"/>
      <c r="G110" s="38"/>
      <c r="H110" s="35"/>
      <c r="I110" s="36"/>
      <c r="J110" s="52"/>
      <c r="K110" s="42"/>
      <c r="L110" s="63"/>
      <c r="M110" s="79"/>
    </row>
    <row r="111" spans="1:13" s="44" customFormat="1" x14ac:dyDescent="0.2">
      <c r="A111" s="17" t="str">
        <f>IF(F111&lt;&gt;"",1+MAX($A$6:A110),"")</f>
        <v/>
      </c>
      <c r="B111" s="2"/>
      <c r="C111" s="2"/>
      <c r="D111" s="39"/>
      <c r="E111" s="69" t="s">
        <v>36</v>
      </c>
      <c r="F111" s="34"/>
      <c r="G111" s="38"/>
      <c r="H111" s="35"/>
      <c r="I111" s="36"/>
      <c r="J111" s="52"/>
      <c r="K111" s="42"/>
      <c r="L111" s="63"/>
      <c r="M111" s="81"/>
    </row>
    <row r="112" spans="1:13" s="44" customFormat="1" x14ac:dyDescent="0.2">
      <c r="A112" s="17">
        <f>IF(F112&lt;&gt;"",1+MAX($A$6:A111),"")</f>
        <v>80</v>
      </c>
      <c r="B112" s="2" t="s">
        <v>23</v>
      </c>
      <c r="C112" s="2"/>
      <c r="D112" s="39"/>
      <c r="E112" s="40" t="s">
        <v>40</v>
      </c>
      <c r="F112" s="34">
        <f>(6*2+1*6)*9.8</f>
        <v>176.4</v>
      </c>
      <c r="G112" s="38">
        <v>0.05</v>
      </c>
      <c r="H112" s="35">
        <f t="shared" ref="H112:H119" si="18">F112*(1+G112)</f>
        <v>185.22000000000003</v>
      </c>
      <c r="I112" s="36" t="s">
        <v>21</v>
      </c>
      <c r="J112" s="52">
        <f t="shared" ref="J112:J119" si="19">J$10</f>
        <v>0</v>
      </c>
      <c r="K112" s="42">
        <f t="shared" ref="K112:K119" si="20">J112*H112</f>
        <v>0</v>
      </c>
      <c r="L112" s="63"/>
      <c r="M112" s="81"/>
    </row>
    <row r="113" spans="1:13" s="44" customFormat="1" x14ac:dyDescent="0.2">
      <c r="A113" s="17">
        <f>IF(F113&lt;&gt;"",1+MAX($A$6:A112),"")</f>
        <v>81</v>
      </c>
      <c r="B113" s="2" t="s">
        <v>23</v>
      </c>
      <c r="C113" s="2"/>
      <c r="D113" s="39"/>
      <c r="E113" s="40" t="s">
        <v>41</v>
      </c>
      <c r="F113" s="34">
        <f>16*4*0.5*28.7</f>
        <v>918.4</v>
      </c>
      <c r="G113" s="38">
        <v>0.05</v>
      </c>
      <c r="H113" s="35">
        <f t="shared" si="18"/>
        <v>964.32</v>
      </c>
      <c r="I113" s="36" t="s">
        <v>21</v>
      </c>
      <c r="J113" s="52">
        <f t="shared" si="19"/>
        <v>0</v>
      </c>
      <c r="K113" s="42">
        <f t="shared" si="20"/>
        <v>0</v>
      </c>
      <c r="L113" s="63"/>
      <c r="M113" s="81"/>
    </row>
    <row r="114" spans="1:13" s="44" customFormat="1" x14ac:dyDescent="0.2">
      <c r="A114" s="17">
        <f>IF(F114&lt;&gt;"",1+MAX($A$6:A113),"")</f>
        <v>82</v>
      </c>
      <c r="B114" s="2" t="s">
        <v>23</v>
      </c>
      <c r="C114" s="2"/>
      <c r="D114" s="39"/>
      <c r="E114" s="40" t="s">
        <v>42</v>
      </c>
      <c r="F114" s="34">
        <f>13*4*0.5*6.6</f>
        <v>171.6</v>
      </c>
      <c r="G114" s="38">
        <v>0.05</v>
      </c>
      <c r="H114" s="35">
        <f t="shared" si="18"/>
        <v>180.18</v>
      </c>
      <c r="I114" s="36" t="s">
        <v>21</v>
      </c>
      <c r="J114" s="52">
        <f t="shared" si="19"/>
        <v>0</v>
      </c>
      <c r="K114" s="42">
        <f t="shared" si="20"/>
        <v>0</v>
      </c>
      <c r="L114" s="63"/>
      <c r="M114" s="81"/>
    </row>
    <row r="115" spans="1:13" s="44" customFormat="1" x14ac:dyDescent="0.2">
      <c r="A115" s="17">
        <f>IF(F115&lt;&gt;"",1+MAX($A$6:A114),"")</f>
        <v>83</v>
      </c>
      <c r="B115" s="2" t="s">
        <v>23</v>
      </c>
      <c r="C115" s="2"/>
      <c r="D115" s="39"/>
      <c r="E115" s="40" t="s">
        <v>59</v>
      </c>
      <c r="F115" s="34">
        <f>427.2*2*5.8</f>
        <v>4955.5199999999995</v>
      </c>
      <c r="G115" s="38">
        <v>0.05</v>
      </c>
      <c r="H115" s="35">
        <f t="shared" si="18"/>
        <v>5203.2959999999994</v>
      </c>
      <c r="I115" s="36" t="s">
        <v>21</v>
      </c>
      <c r="J115" s="52">
        <f t="shared" si="19"/>
        <v>0</v>
      </c>
      <c r="K115" s="42">
        <f t="shared" si="20"/>
        <v>0</v>
      </c>
      <c r="L115" s="63"/>
      <c r="M115" s="81"/>
    </row>
    <row r="116" spans="1:13" s="44" customFormat="1" x14ac:dyDescent="0.2">
      <c r="A116" s="17">
        <f>IF(F116&lt;&gt;"",1+MAX($A$6:A115),"")</f>
        <v>84</v>
      </c>
      <c r="B116" s="2" t="s">
        <v>23</v>
      </c>
      <c r="C116" s="2"/>
      <c r="D116" s="39"/>
      <c r="E116" s="40" t="s">
        <v>42</v>
      </c>
      <c r="F116" s="34">
        <f>(4*10+8*7+1*10+1*10+4*3)*6.6</f>
        <v>844.8</v>
      </c>
      <c r="G116" s="38">
        <v>0.05</v>
      </c>
      <c r="H116" s="35">
        <f t="shared" si="18"/>
        <v>887.04</v>
      </c>
      <c r="I116" s="36" t="s">
        <v>21</v>
      </c>
      <c r="J116" s="52">
        <f t="shared" si="19"/>
        <v>0</v>
      </c>
      <c r="K116" s="42">
        <f t="shared" si="20"/>
        <v>0</v>
      </c>
      <c r="L116" s="63"/>
      <c r="M116" s="81"/>
    </row>
    <row r="117" spans="1:13" s="44" customFormat="1" x14ac:dyDescent="0.2">
      <c r="A117" s="17">
        <f>IF(F117&lt;&gt;"",1+MAX($A$6:A116),"")</f>
        <v>85</v>
      </c>
      <c r="B117" s="2" t="s">
        <v>23</v>
      </c>
      <c r="C117" s="2"/>
      <c r="D117" s="39"/>
      <c r="E117" s="40" t="s">
        <v>109</v>
      </c>
      <c r="F117" s="34">
        <f>40.1*4.9</f>
        <v>196.49</v>
      </c>
      <c r="G117" s="38">
        <v>0.05</v>
      </c>
      <c r="H117" s="35">
        <f t="shared" si="18"/>
        <v>206.31450000000001</v>
      </c>
      <c r="I117" s="36" t="s">
        <v>21</v>
      </c>
      <c r="J117" s="52">
        <f t="shared" si="19"/>
        <v>0</v>
      </c>
      <c r="K117" s="42">
        <f t="shared" si="20"/>
        <v>0</v>
      </c>
      <c r="L117" s="63"/>
      <c r="M117" s="81"/>
    </row>
    <row r="118" spans="1:13" s="44" customFormat="1" x14ac:dyDescent="0.2">
      <c r="A118" s="17">
        <f>IF(F118&lt;&gt;"",1+MAX($A$6:A117),"")</f>
        <v>86</v>
      </c>
      <c r="B118" s="2" t="s">
        <v>23</v>
      </c>
      <c r="C118" s="2"/>
      <c r="D118" s="39"/>
      <c r="E118" s="40" t="s">
        <v>110</v>
      </c>
      <c r="F118" s="34">
        <f>35.4*8.2</f>
        <v>290.27999999999997</v>
      </c>
      <c r="G118" s="38">
        <v>0.05</v>
      </c>
      <c r="H118" s="35">
        <f t="shared" si="18"/>
        <v>304.79399999999998</v>
      </c>
      <c r="I118" s="36" t="s">
        <v>21</v>
      </c>
      <c r="J118" s="52">
        <f t="shared" si="19"/>
        <v>0</v>
      </c>
      <c r="K118" s="42">
        <f t="shared" si="20"/>
        <v>0</v>
      </c>
      <c r="L118" s="63"/>
      <c r="M118" s="81"/>
    </row>
    <row r="119" spans="1:13" s="44" customFormat="1" x14ac:dyDescent="0.2">
      <c r="A119" s="17">
        <f>IF(F119&lt;&gt;"",1+MAX($A$6:A118),"")</f>
        <v>87</v>
      </c>
      <c r="B119" s="2" t="s">
        <v>23</v>
      </c>
      <c r="C119" s="2"/>
      <c r="D119" s="39"/>
      <c r="E119" s="40" t="s">
        <v>111</v>
      </c>
      <c r="F119" s="34">
        <f>94*12.3</f>
        <v>1156.2</v>
      </c>
      <c r="G119" s="38">
        <v>0.05</v>
      </c>
      <c r="H119" s="35">
        <f t="shared" si="18"/>
        <v>1214.01</v>
      </c>
      <c r="I119" s="36" t="s">
        <v>21</v>
      </c>
      <c r="J119" s="52">
        <f t="shared" si="19"/>
        <v>0</v>
      </c>
      <c r="K119" s="42">
        <f t="shared" si="20"/>
        <v>0</v>
      </c>
      <c r="L119" s="63"/>
      <c r="M119" s="81"/>
    </row>
    <row r="120" spans="1:13" s="1" customFormat="1" x14ac:dyDescent="0.2">
      <c r="A120" s="17" t="str">
        <f>IF(F120&lt;&gt;"",1+MAX($A$6:A119),"")</f>
        <v/>
      </c>
      <c r="B120" s="2"/>
      <c r="C120" s="2"/>
      <c r="D120" s="24"/>
      <c r="E120" s="40"/>
      <c r="F120" s="34"/>
      <c r="G120" s="38"/>
      <c r="H120" s="35"/>
      <c r="I120" s="36"/>
      <c r="J120" s="52"/>
      <c r="K120" s="42"/>
      <c r="L120" s="63"/>
      <c r="M120" s="81"/>
    </row>
    <row r="121" spans="1:13" s="44" customFormat="1" x14ac:dyDescent="0.2">
      <c r="A121" s="17" t="str">
        <f>IF(F121&lt;&gt;"",1+MAX($A$6:A120),"")</f>
        <v/>
      </c>
      <c r="B121" s="2"/>
      <c r="C121" s="2"/>
      <c r="D121" s="39"/>
      <c r="E121" s="69" t="s">
        <v>106</v>
      </c>
      <c r="F121" s="34"/>
      <c r="G121" s="38"/>
      <c r="H121" s="35"/>
      <c r="I121" s="36"/>
      <c r="J121" s="52"/>
      <c r="K121" s="42"/>
      <c r="L121" s="63"/>
      <c r="M121" s="81"/>
    </row>
    <row r="122" spans="1:13" s="44" customFormat="1" x14ac:dyDescent="0.2">
      <c r="A122" s="17">
        <f>IF(F122&lt;&gt;"",1+MAX($A$6:A121),"")</f>
        <v>88</v>
      </c>
      <c r="B122" s="2" t="s">
        <v>23</v>
      </c>
      <c r="C122" s="2"/>
      <c r="D122" s="39"/>
      <c r="E122" s="40" t="s">
        <v>108</v>
      </c>
      <c r="F122" s="34">
        <f>18.6*2*20</f>
        <v>744</v>
      </c>
      <c r="G122" s="38">
        <v>0.05</v>
      </c>
      <c r="H122" s="35">
        <f>F122*(1+G122)</f>
        <v>781.2</v>
      </c>
      <c r="I122" s="36" t="s">
        <v>21</v>
      </c>
      <c r="J122" s="52">
        <f>J$10</f>
        <v>0</v>
      </c>
      <c r="K122" s="42">
        <f>J122*H122</f>
        <v>0</v>
      </c>
      <c r="L122" s="63"/>
      <c r="M122" s="81"/>
    </row>
    <row r="123" spans="1:13" s="44" customFormat="1" x14ac:dyDescent="0.2">
      <c r="A123" s="17">
        <f>IF(F123&lt;&gt;"",1+MAX($A$6:A122),"")</f>
        <v>89</v>
      </c>
      <c r="B123" s="2" t="s">
        <v>23</v>
      </c>
      <c r="C123" s="2"/>
      <c r="D123" s="39"/>
      <c r="E123" s="40" t="s">
        <v>107</v>
      </c>
      <c r="F123" s="34">
        <f>(10*4+8*13+1*17+1*22.67+4*3)*8.2</f>
        <v>1604.4939999999999</v>
      </c>
      <c r="G123" s="38">
        <v>0.05</v>
      </c>
      <c r="H123" s="35">
        <f>F123*(1+G123)</f>
        <v>1684.7186999999999</v>
      </c>
      <c r="I123" s="36" t="s">
        <v>21</v>
      </c>
      <c r="J123" s="52">
        <f>J$10</f>
        <v>0</v>
      </c>
      <c r="K123" s="42">
        <f>J123*H123</f>
        <v>0</v>
      </c>
      <c r="L123" s="63"/>
      <c r="M123" s="81"/>
    </row>
    <row r="124" spans="1:13" s="1" customFormat="1" x14ac:dyDescent="0.2">
      <c r="A124" s="17" t="str">
        <f>IF(F124&lt;&gt;"",1+MAX($A$6:A123),"")</f>
        <v/>
      </c>
      <c r="B124" s="2"/>
      <c r="C124" s="2"/>
      <c r="D124" s="24"/>
      <c r="E124" s="40"/>
      <c r="F124" s="34"/>
      <c r="G124" s="38"/>
      <c r="H124" s="35"/>
      <c r="I124" s="36"/>
      <c r="J124" s="52"/>
      <c r="K124" s="42"/>
      <c r="L124" s="63"/>
      <c r="M124" s="79"/>
    </row>
    <row r="125" spans="1:13" s="44" customFormat="1" x14ac:dyDescent="0.2">
      <c r="A125" s="17" t="str">
        <f>IF(F125&lt;&gt;"",1+MAX($A$6:A124),"")</f>
        <v/>
      </c>
      <c r="B125" s="2"/>
      <c r="C125" s="2"/>
      <c r="D125" s="39"/>
      <c r="E125" s="69" t="s">
        <v>95</v>
      </c>
      <c r="F125" s="34"/>
      <c r="G125" s="38"/>
      <c r="H125" s="35"/>
      <c r="I125" s="36"/>
      <c r="J125" s="52"/>
      <c r="K125" s="42"/>
      <c r="L125" s="63"/>
      <c r="M125" s="81"/>
    </row>
    <row r="126" spans="1:13" s="44" customFormat="1" x14ac:dyDescent="0.2">
      <c r="A126" s="17">
        <f>IF(F126&lt;&gt;"",1+MAX($A$6:A125),"")</f>
        <v>90</v>
      </c>
      <c r="B126" s="2" t="s">
        <v>23</v>
      </c>
      <c r="C126" s="2"/>
      <c r="D126" s="39"/>
      <c r="E126" s="40" t="s">
        <v>96</v>
      </c>
      <c r="F126" s="34">
        <f>23.1*19.02</f>
        <v>439.36200000000002</v>
      </c>
      <c r="G126" s="38">
        <v>0.05</v>
      </c>
      <c r="H126" s="35">
        <f t="shared" ref="H126:H142" si="21">F126*(1+G126)</f>
        <v>461.33010000000002</v>
      </c>
      <c r="I126" s="36" t="s">
        <v>21</v>
      </c>
      <c r="J126" s="52">
        <f t="shared" ref="J126:J142" si="22">J$10</f>
        <v>0</v>
      </c>
      <c r="K126" s="42">
        <f t="shared" ref="K126:K142" si="23">J126*H126</f>
        <v>0</v>
      </c>
      <c r="L126" s="63"/>
      <c r="M126" s="81"/>
    </row>
    <row r="127" spans="1:13" s="44" customFormat="1" x14ac:dyDescent="0.2">
      <c r="A127" s="17">
        <f>IF(F127&lt;&gt;"",1+MAX($A$6:A126),"")</f>
        <v>91</v>
      </c>
      <c r="B127" s="2" t="s">
        <v>23</v>
      </c>
      <c r="C127" s="2"/>
      <c r="D127" s="39"/>
      <c r="E127" s="84" t="s">
        <v>97</v>
      </c>
      <c r="F127" s="34">
        <f>74.1*42.79</f>
        <v>3170.7389999999996</v>
      </c>
      <c r="G127" s="38">
        <v>0.05</v>
      </c>
      <c r="H127" s="35">
        <f t="shared" si="21"/>
        <v>3329.2759499999997</v>
      </c>
      <c r="I127" s="36" t="s">
        <v>21</v>
      </c>
      <c r="J127" s="52">
        <f t="shared" si="22"/>
        <v>0</v>
      </c>
      <c r="K127" s="42">
        <f t="shared" si="23"/>
        <v>0</v>
      </c>
      <c r="L127" s="63"/>
      <c r="M127" s="81"/>
    </row>
    <row r="128" spans="1:13" s="44" customFormat="1" x14ac:dyDescent="0.2">
      <c r="A128" s="17">
        <f>IF(F128&lt;&gt;"",1+MAX($A$6:A127),"")</f>
        <v>92</v>
      </c>
      <c r="B128" s="2" t="s">
        <v>23</v>
      </c>
      <c r="C128" s="2"/>
      <c r="D128" s="39"/>
      <c r="E128" s="84" t="s">
        <v>98</v>
      </c>
      <c r="F128" s="34">
        <f>429*32.58</f>
        <v>13976.82</v>
      </c>
      <c r="G128" s="38">
        <v>0.05</v>
      </c>
      <c r="H128" s="35">
        <f t="shared" si="21"/>
        <v>14675.661</v>
      </c>
      <c r="I128" s="36" t="s">
        <v>21</v>
      </c>
      <c r="J128" s="52">
        <f t="shared" si="22"/>
        <v>0</v>
      </c>
      <c r="K128" s="42">
        <f t="shared" si="23"/>
        <v>0</v>
      </c>
      <c r="L128" s="63"/>
      <c r="M128" s="81"/>
    </row>
    <row r="129" spans="1:13" s="44" customFormat="1" x14ac:dyDescent="0.2">
      <c r="A129" s="17">
        <f>IF(F129&lt;&gt;"",1+MAX($A$6:A128),"")</f>
        <v>93</v>
      </c>
      <c r="B129" s="2" t="s">
        <v>23</v>
      </c>
      <c r="C129" s="2"/>
      <c r="D129" s="39"/>
      <c r="E129" s="40" t="s">
        <v>99</v>
      </c>
      <c r="F129" s="34">
        <f>104.3*12</f>
        <v>1251.5999999999999</v>
      </c>
      <c r="G129" s="38">
        <v>0.05</v>
      </c>
      <c r="H129" s="35">
        <f t="shared" si="21"/>
        <v>1314.18</v>
      </c>
      <c r="I129" s="36" t="s">
        <v>21</v>
      </c>
      <c r="J129" s="52">
        <f t="shared" si="22"/>
        <v>0</v>
      </c>
      <c r="K129" s="42">
        <f t="shared" si="23"/>
        <v>0</v>
      </c>
      <c r="L129" s="63"/>
      <c r="M129" s="81"/>
    </row>
    <row r="130" spans="1:13" s="44" customFormat="1" x14ac:dyDescent="0.2">
      <c r="A130" s="17">
        <f>IF(F130&lt;&gt;"",1+MAX($A$6:A129),"")</f>
        <v>94</v>
      </c>
      <c r="B130" s="2" t="s">
        <v>23</v>
      </c>
      <c r="C130" s="2"/>
      <c r="D130" s="39"/>
      <c r="E130" s="40" t="s">
        <v>81</v>
      </c>
      <c r="F130" s="34">
        <f>1388.8*19</f>
        <v>26387.200000000001</v>
      </c>
      <c r="G130" s="38">
        <v>0.05</v>
      </c>
      <c r="H130" s="35">
        <f t="shared" si="21"/>
        <v>27706.560000000001</v>
      </c>
      <c r="I130" s="36" t="s">
        <v>21</v>
      </c>
      <c r="J130" s="52">
        <f t="shared" si="22"/>
        <v>0</v>
      </c>
      <c r="K130" s="42">
        <f t="shared" si="23"/>
        <v>0</v>
      </c>
      <c r="L130" s="63"/>
      <c r="M130" s="81"/>
    </row>
    <row r="131" spans="1:13" s="44" customFormat="1" x14ac:dyDescent="0.2">
      <c r="A131" s="17">
        <f>IF(F131&lt;&gt;"",1+MAX($A$6:A130),"")</f>
        <v>95</v>
      </c>
      <c r="B131" s="2" t="s">
        <v>23</v>
      </c>
      <c r="C131" s="2"/>
      <c r="D131" s="39"/>
      <c r="E131" s="40" t="s">
        <v>82</v>
      </c>
      <c r="F131" s="34">
        <f>224.6*22</f>
        <v>4941.2</v>
      </c>
      <c r="G131" s="38">
        <v>0.05</v>
      </c>
      <c r="H131" s="35">
        <f t="shared" si="21"/>
        <v>5188.26</v>
      </c>
      <c r="I131" s="36" t="s">
        <v>21</v>
      </c>
      <c r="J131" s="52">
        <f t="shared" si="22"/>
        <v>0</v>
      </c>
      <c r="K131" s="42">
        <f t="shared" si="23"/>
        <v>0</v>
      </c>
      <c r="L131" s="63"/>
      <c r="M131" s="81"/>
    </row>
    <row r="132" spans="1:13" s="44" customFormat="1" x14ac:dyDescent="0.2">
      <c r="A132" s="17">
        <f>IF(F132&lt;&gt;"",1+MAX($A$6:A131),"")</f>
        <v>96</v>
      </c>
      <c r="B132" s="2" t="s">
        <v>23</v>
      </c>
      <c r="C132" s="2"/>
      <c r="D132" s="39"/>
      <c r="E132" s="40" t="s">
        <v>100</v>
      </c>
      <c r="F132" s="34">
        <f>11.6*26</f>
        <v>301.59999999999997</v>
      </c>
      <c r="G132" s="38">
        <v>0.05</v>
      </c>
      <c r="H132" s="35">
        <f t="shared" si="21"/>
        <v>316.67999999999995</v>
      </c>
      <c r="I132" s="36" t="s">
        <v>21</v>
      </c>
      <c r="J132" s="52">
        <f t="shared" si="22"/>
        <v>0</v>
      </c>
      <c r="K132" s="42">
        <f t="shared" si="23"/>
        <v>0</v>
      </c>
      <c r="L132" s="63"/>
      <c r="M132" s="81"/>
    </row>
    <row r="133" spans="1:13" s="44" customFormat="1" x14ac:dyDescent="0.2">
      <c r="A133" s="17">
        <f>IF(F133&lt;&gt;"",1+MAX($A$6:A132),"")</f>
        <v>97</v>
      </c>
      <c r="B133" s="2" t="s">
        <v>23</v>
      </c>
      <c r="C133" s="2"/>
      <c r="D133" s="39"/>
      <c r="E133" s="40" t="s">
        <v>83</v>
      </c>
      <c r="F133" s="34">
        <f>313.8*26</f>
        <v>8158.8</v>
      </c>
      <c r="G133" s="38">
        <v>0.05</v>
      </c>
      <c r="H133" s="35">
        <f t="shared" si="21"/>
        <v>8566.74</v>
      </c>
      <c r="I133" s="36" t="s">
        <v>21</v>
      </c>
      <c r="J133" s="52">
        <f t="shared" si="22"/>
        <v>0</v>
      </c>
      <c r="K133" s="42">
        <f t="shared" si="23"/>
        <v>0</v>
      </c>
      <c r="L133" s="63"/>
      <c r="M133" s="81"/>
    </row>
    <row r="134" spans="1:13" s="44" customFormat="1" x14ac:dyDescent="0.2">
      <c r="A134" s="17">
        <f>IF(F134&lt;&gt;"",1+MAX($A$6:A133),"")</f>
        <v>98</v>
      </c>
      <c r="B134" s="2" t="s">
        <v>23</v>
      </c>
      <c r="C134" s="2"/>
      <c r="D134" s="39"/>
      <c r="E134" s="40" t="s">
        <v>101</v>
      </c>
      <c r="F134" s="34">
        <f>77.6*31</f>
        <v>2405.6</v>
      </c>
      <c r="G134" s="38">
        <v>0.05</v>
      </c>
      <c r="H134" s="35">
        <f t="shared" si="21"/>
        <v>2525.88</v>
      </c>
      <c r="I134" s="36" t="s">
        <v>21</v>
      </c>
      <c r="J134" s="52">
        <f t="shared" si="22"/>
        <v>0</v>
      </c>
      <c r="K134" s="42">
        <f t="shared" si="23"/>
        <v>0</v>
      </c>
      <c r="L134" s="63"/>
      <c r="M134" s="81"/>
    </row>
    <row r="135" spans="1:13" s="44" customFormat="1" x14ac:dyDescent="0.2">
      <c r="A135" s="17">
        <f>IF(F135&lt;&gt;"",1+MAX($A$6:A134),"")</f>
        <v>99</v>
      </c>
      <c r="B135" s="2" t="s">
        <v>23</v>
      </c>
      <c r="C135" s="2"/>
      <c r="D135" s="39"/>
      <c r="E135" s="40" t="s">
        <v>69</v>
      </c>
      <c r="F135" s="34">
        <f>389*35</f>
        <v>13615</v>
      </c>
      <c r="G135" s="38">
        <v>0.05</v>
      </c>
      <c r="H135" s="35">
        <f t="shared" si="21"/>
        <v>14295.75</v>
      </c>
      <c r="I135" s="36" t="s">
        <v>21</v>
      </c>
      <c r="J135" s="52">
        <f t="shared" si="22"/>
        <v>0</v>
      </c>
      <c r="K135" s="42">
        <f t="shared" si="23"/>
        <v>0</v>
      </c>
      <c r="L135" s="63"/>
      <c r="M135" s="81"/>
    </row>
    <row r="136" spans="1:13" s="44" customFormat="1" x14ac:dyDescent="0.2">
      <c r="A136" s="17">
        <f>IF(F136&lt;&gt;"",1+MAX($A$6:A135),"")</f>
        <v>100</v>
      </c>
      <c r="B136" s="2" t="s">
        <v>23</v>
      </c>
      <c r="C136" s="2"/>
      <c r="D136" s="39"/>
      <c r="E136" s="40" t="s">
        <v>102</v>
      </c>
      <c r="F136" s="34">
        <f>31.7*40</f>
        <v>1268</v>
      </c>
      <c r="G136" s="38">
        <v>0.05</v>
      </c>
      <c r="H136" s="35">
        <f t="shared" si="21"/>
        <v>1331.4</v>
      </c>
      <c r="I136" s="36" t="s">
        <v>21</v>
      </c>
      <c r="J136" s="52">
        <f t="shared" si="22"/>
        <v>0</v>
      </c>
      <c r="K136" s="42">
        <f t="shared" si="23"/>
        <v>0</v>
      </c>
      <c r="L136" s="63"/>
      <c r="M136" s="81"/>
    </row>
    <row r="137" spans="1:13" s="44" customFormat="1" x14ac:dyDescent="0.2">
      <c r="A137" s="17">
        <f>IF(F137&lt;&gt;"",1+MAX($A$6:A136),"")</f>
        <v>101</v>
      </c>
      <c r="B137" s="2" t="s">
        <v>23</v>
      </c>
      <c r="C137" s="2"/>
      <c r="D137" s="39"/>
      <c r="E137" s="40" t="s">
        <v>84</v>
      </c>
      <c r="F137" s="34">
        <f>422.6*44</f>
        <v>18594.400000000001</v>
      </c>
      <c r="G137" s="38">
        <v>0.05</v>
      </c>
      <c r="H137" s="35">
        <f t="shared" si="21"/>
        <v>19524.120000000003</v>
      </c>
      <c r="I137" s="36" t="s">
        <v>21</v>
      </c>
      <c r="J137" s="52">
        <f t="shared" si="22"/>
        <v>0</v>
      </c>
      <c r="K137" s="42">
        <f t="shared" si="23"/>
        <v>0</v>
      </c>
      <c r="L137" s="63"/>
      <c r="M137" s="81"/>
    </row>
    <row r="138" spans="1:13" s="44" customFormat="1" x14ac:dyDescent="0.2">
      <c r="A138" s="17">
        <f>IF(F138&lt;&gt;"",1+MAX($A$6:A137),"")</f>
        <v>102</v>
      </c>
      <c r="B138" s="2" t="s">
        <v>23</v>
      </c>
      <c r="C138" s="2"/>
      <c r="D138" s="39"/>
      <c r="E138" s="40" t="s">
        <v>103</v>
      </c>
      <c r="F138" s="34">
        <f>136.4*48</f>
        <v>6547.2000000000007</v>
      </c>
      <c r="G138" s="38">
        <v>0.05</v>
      </c>
      <c r="H138" s="35">
        <f t="shared" si="21"/>
        <v>6874.5600000000013</v>
      </c>
      <c r="I138" s="36" t="s">
        <v>21</v>
      </c>
      <c r="J138" s="52">
        <f t="shared" si="22"/>
        <v>0</v>
      </c>
      <c r="K138" s="42">
        <f t="shared" si="23"/>
        <v>0</v>
      </c>
      <c r="L138" s="63"/>
      <c r="M138" s="81"/>
    </row>
    <row r="139" spans="1:13" s="44" customFormat="1" x14ac:dyDescent="0.2">
      <c r="A139" s="17">
        <f>IF(F139&lt;&gt;"",1+MAX($A$6:A138),"")</f>
        <v>103</v>
      </c>
      <c r="B139" s="2" t="s">
        <v>23</v>
      </c>
      <c r="C139" s="2"/>
      <c r="D139" s="39"/>
      <c r="E139" s="40" t="s">
        <v>104</v>
      </c>
      <c r="F139" s="34">
        <f>107.1*55</f>
        <v>5890.5</v>
      </c>
      <c r="G139" s="38">
        <v>0.05</v>
      </c>
      <c r="H139" s="35">
        <f t="shared" si="21"/>
        <v>6185.0250000000005</v>
      </c>
      <c r="I139" s="36" t="s">
        <v>21</v>
      </c>
      <c r="J139" s="52">
        <f t="shared" si="22"/>
        <v>0</v>
      </c>
      <c r="K139" s="42">
        <f t="shared" si="23"/>
        <v>0</v>
      </c>
      <c r="L139" s="63"/>
      <c r="M139" s="81"/>
    </row>
    <row r="140" spans="1:13" s="44" customFormat="1" x14ac:dyDescent="0.2">
      <c r="A140" s="17">
        <f>IF(F140&lt;&gt;"",1+MAX($A$6:A139),"")</f>
        <v>104</v>
      </c>
      <c r="B140" s="2" t="s">
        <v>23</v>
      </c>
      <c r="C140" s="2"/>
      <c r="D140" s="39"/>
      <c r="E140" s="40" t="s">
        <v>85</v>
      </c>
      <c r="F140" s="34">
        <f>47.5*62</f>
        <v>2945</v>
      </c>
      <c r="G140" s="38">
        <v>0.05</v>
      </c>
      <c r="H140" s="35">
        <f t="shared" si="21"/>
        <v>3092.25</v>
      </c>
      <c r="I140" s="36" t="s">
        <v>21</v>
      </c>
      <c r="J140" s="52">
        <f t="shared" si="22"/>
        <v>0</v>
      </c>
      <c r="K140" s="42">
        <f t="shared" si="23"/>
        <v>0</v>
      </c>
      <c r="L140" s="63"/>
      <c r="M140" s="81"/>
    </row>
    <row r="141" spans="1:13" s="44" customFormat="1" x14ac:dyDescent="0.2">
      <c r="A141" s="17">
        <f>IF(F141&lt;&gt;"",1+MAX($A$6:A140),"")</f>
        <v>105</v>
      </c>
      <c r="B141" s="2" t="s">
        <v>23</v>
      </c>
      <c r="C141" s="2"/>
      <c r="D141" s="39"/>
      <c r="E141" s="40" t="s">
        <v>105</v>
      </c>
      <c r="F141" s="34">
        <f>117.2*68</f>
        <v>7969.6</v>
      </c>
      <c r="G141" s="38">
        <v>0.05</v>
      </c>
      <c r="H141" s="35">
        <f t="shared" si="21"/>
        <v>8368.08</v>
      </c>
      <c r="I141" s="36" t="s">
        <v>21</v>
      </c>
      <c r="J141" s="52">
        <f t="shared" si="22"/>
        <v>0</v>
      </c>
      <c r="K141" s="42">
        <f t="shared" si="23"/>
        <v>0</v>
      </c>
      <c r="L141" s="63"/>
      <c r="M141" s="81"/>
    </row>
    <row r="142" spans="1:13" s="44" customFormat="1" x14ac:dyDescent="0.2">
      <c r="A142" s="17">
        <f>IF(F142&lt;&gt;"",1+MAX($A$6:A141),"")</f>
        <v>106</v>
      </c>
      <c r="B142" s="2" t="s">
        <v>23</v>
      </c>
      <c r="C142" s="2"/>
      <c r="D142" s="39"/>
      <c r="E142" s="40" t="s">
        <v>86</v>
      </c>
      <c r="F142" s="34">
        <f>44.3*76</f>
        <v>3366.7999999999997</v>
      </c>
      <c r="G142" s="38">
        <v>0.05</v>
      </c>
      <c r="H142" s="35">
        <f t="shared" si="21"/>
        <v>3535.14</v>
      </c>
      <c r="I142" s="36" t="s">
        <v>21</v>
      </c>
      <c r="J142" s="52">
        <f t="shared" si="22"/>
        <v>0</v>
      </c>
      <c r="K142" s="42">
        <f t="shared" si="23"/>
        <v>0</v>
      </c>
      <c r="L142" s="63"/>
      <c r="M142" s="81"/>
    </row>
    <row r="143" spans="1:13" s="1" customFormat="1" x14ac:dyDescent="0.2">
      <c r="A143" s="17" t="str">
        <f>IF(F143&lt;&gt;"",1+MAX($A$6:A142),"")</f>
        <v/>
      </c>
      <c r="B143" s="2"/>
      <c r="C143" s="2"/>
      <c r="D143" s="24"/>
      <c r="E143" s="40"/>
      <c r="F143" s="34"/>
      <c r="G143" s="38"/>
      <c r="H143" s="35"/>
      <c r="I143" s="36"/>
      <c r="J143" s="52"/>
      <c r="K143" s="42"/>
      <c r="L143" s="63"/>
      <c r="M143" s="79"/>
    </row>
    <row r="144" spans="1:13" s="44" customFormat="1" x14ac:dyDescent="0.2">
      <c r="A144" s="17" t="str">
        <f>IF(F144&lt;&gt;"",1+MAX($A$6:A143),"")</f>
        <v/>
      </c>
      <c r="B144" s="2"/>
      <c r="C144" s="2"/>
      <c r="D144" s="39"/>
      <c r="E144" s="69" t="s">
        <v>80</v>
      </c>
      <c r="F144" s="34"/>
      <c r="G144" s="38"/>
      <c r="H144" s="35"/>
      <c r="I144" s="36"/>
      <c r="J144" s="52"/>
      <c r="K144" s="42"/>
      <c r="L144" s="63"/>
      <c r="M144" s="81"/>
    </row>
    <row r="145" spans="1:13" s="44" customFormat="1" x14ac:dyDescent="0.2">
      <c r="A145" s="17">
        <f>IF(F145&lt;&gt;"",1+MAX($A$6:A144),"")</f>
        <v>107</v>
      </c>
      <c r="B145" s="2" t="s">
        <v>23</v>
      </c>
      <c r="C145" s="2"/>
      <c r="D145" s="39"/>
      <c r="E145" s="40" t="s">
        <v>81</v>
      </c>
      <c r="F145" s="34">
        <f>271.6*19</f>
        <v>5160.4000000000005</v>
      </c>
      <c r="G145" s="38">
        <v>0.05</v>
      </c>
      <c r="H145" s="35">
        <f t="shared" ref="H145:H152" si="24">F145*(1+G145)</f>
        <v>5418.420000000001</v>
      </c>
      <c r="I145" s="36" t="s">
        <v>21</v>
      </c>
      <c r="J145" s="52">
        <f t="shared" ref="J145:J152" si="25">J$10</f>
        <v>0</v>
      </c>
      <c r="K145" s="42">
        <f t="shared" ref="K145:K152" si="26">J145*H145</f>
        <v>0</v>
      </c>
      <c r="L145" s="63"/>
      <c r="M145" s="81"/>
    </row>
    <row r="146" spans="1:13" s="44" customFormat="1" x14ac:dyDescent="0.2">
      <c r="A146" s="17">
        <f>IF(F146&lt;&gt;"",1+MAX($A$6:A145),"")</f>
        <v>108</v>
      </c>
      <c r="B146" s="2" t="s">
        <v>23</v>
      </c>
      <c r="C146" s="2"/>
      <c r="D146" s="39"/>
      <c r="E146" s="40" t="s">
        <v>82</v>
      </c>
      <c r="F146" s="34">
        <f>53.1*22</f>
        <v>1168.2</v>
      </c>
      <c r="G146" s="38">
        <v>0.05</v>
      </c>
      <c r="H146" s="35">
        <f t="shared" si="24"/>
        <v>1226.6100000000001</v>
      </c>
      <c r="I146" s="36" t="s">
        <v>21</v>
      </c>
      <c r="J146" s="52">
        <f t="shared" si="25"/>
        <v>0</v>
      </c>
      <c r="K146" s="42">
        <f t="shared" si="26"/>
        <v>0</v>
      </c>
      <c r="L146" s="63"/>
      <c r="M146" s="81"/>
    </row>
    <row r="147" spans="1:13" s="44" customFormat="1" x14ac:dyDescent="0.2">
      <c r="A147" s="17">
        <f>IF(F147&lt;&gt;"",1+MAX($A$6:A146),"")</f>
        <v>109</v>
      </c>
      <c r="B147" s="2" t="s">
        <v>23</v>
      </c>
      <c r="C147" s="2"/>
      <c r="D147" s="39"/>
      <c r="E147" s="40" t="s">
        <v>83</v>
      </c>
      <c r="F147" s="34">
        <f>252*26</f>
        <v>6552</v>
      </c>
      <c r="G147" s="38">
        <v>0.05</v>
      </c>
      <c r="H147" s="35">
        <f t="shared" si="24"/>
        <v>6879.6</v>
      </c>
      <c r="I147" s="36" t="s">
        <v>21</v>
      </c>
      <c r="J147" s="52">
        <f t="shared" si="25"/>
        <v>0</v>
      </c>
      <c r="K147" s="42">
        <f t="shared" si="26"/>
        <v>0</v>
      </c>
      <c r="L147" s="63"/>
      <c r="M147" s="81"/>
    </row>
    <row r="148" spans="1:13" s="44" customFormat="1" x14ac:dyDescent="0.2">
      <c r="A148" s="17">
        <f>IF(F148&lt;&gt;"",1+MAX($A$6:A147),"")</f>
        <v>110</v>
      </c>
      <c r="B148" s="2" t="s">
        <v>23</v>
      </c>
      <c r="C148" s="2"/>
      <c r="D148" s="39"/>
      <c r="E148" s="40" t="s">
        <v>84</v>
      </c>
      <c r="F148" s="34">
        <f>34.1*44</f>
        <v>1500.4</v>
      </c>
      <c r="G148" s="38">
        <v>0.05</v>
      </c>
      <c r="H148" s="35">
        <f t="shared" si="24"/>
        <v>1575.42</v>
      </c>
      <c r="I148" s="36" t="s">
        <v>21</v>
      </c>
      <c r="J148" s="52">
        <f t="shared" si="25"/>
        <v>0</v>
      </c>
      <c r="K148" s="42">
        <f t="shared" si="26"/>
        <v>0</v>
      </c>
      <c r="L148" s="63"/>
      <c r="M148" s="81"/>
    </row>
    <row r="149" spans="1:13" s="44" customFormat="1" x14ac:dyDescent="0.2">
      <c r="A149" s="17">
        <f>IF(F149&lt;&gt;"",1+MAX($A$6:A148),"")</f>
        <v>111</v>
      </c>
      <c r="B149" s="2" t="s">
        <v>23</v>
      </c>
      <c r="C149" s="2"/>
      <c r="D149" s="39"/>
      <c r="E149" s="40" t="s">
        <v>85</v>
      </c>
      <c r="F149" s="34">
        <f>4.3*62</f>
        <v>266.59999999999997</v>
      </c>
      <c r="G149" s="38">
        <v>0.05</v>
      </c>
      <c r="H149" s="35">
        <f t="shared" si="24"/>
        <v>279.92999999999995</v>
      </c>
      <c r="I149" s="36" t="s">
        <v>21</v>
      </c>
      <c r="J149" s="52">
        <f t="shared" si="25"/>
        <v>0</v>
      </c>
      <c r="K149" s="42">
        <f t="shared" si="26"/>
        <v>0</v>
      </c>
      <c r="L149" s="63"/>
      <c r="M149" s="81"/>
    </row>
    <row r="150" spans="1:13" s="44" customFormat="1" x14ac:dyDescent="0.2">
      <c r="A150" s="17">
        <f>IF(F150&lt;&gt;"",1+MAX($A$6:A149),"")</f>
        <v>112</v>
      </c>
      <c r="B150" s="2" t="s">
        <v>23</v>
      </c>
      <c r="C150" s="2"/>
      <c r="D150" s="39"/>
      <c r="E150" s="40" t="s">
        <v>86</v>
      </c>
      <c r="F150" s="34">
        <f>40.1*76</f>
        <v>3047.6</v>
      </c>
      <c r="G150" s="38">
        <v>0.05</v>
      </c>
      <c r="H150" s="35">
        <f t="shared" si="24"/>
        <v>3199.98</v>
      </c>
      <c r="I150" s="36" t="s">
        <v>21</v>
      </c>
      <c r="J150" s="52">
        <f t="shared" si="25"/>
        <v>0</v>
      </c>
      <c r="K150" s="42">
        <f t="shared" si="26"/>
        <v>0</v>
      </c>
      <c r="L150" s="63"/>
      <c r="M150" s="81"/>
    </row>
    <row r="151" spans="1:13" s="44" customFormat="1" x14ac:dyDescent="0.2">
      <c r="A151" s="17">
        <f>IF(F151&lt;&gt;"",1+MAX($A$6:A150),"")</f>
        <v>113</v>
      </c>
      <c r="B151" s="2" t="s">
        <v>23</v>
      </c>
      <c r="C151" s="2"/>
      <c r="D151" s="39"/>
      <c r="E151" s="40" t="s">
        <v>87</v>
      </c>
      <c r="F151" s="34">
        <f>367*84</f>
        <v>30828</v>
      </c>
      <c r="G151" s="38">
        <v>0.05</v>
      </c>
      <c r="H151" s="35">
        <f t="shared" si="24"/>
        <v>32369.4</v>
      </c>
      <c r="I151" s="36" t="s">
        <v>21</v>
      </c>
      <c r="J151" s="52">
        <f t="shared" si="25"/>
        <v>0</v>
      </c>
      <c r="K151" s="42">
        <f t="shared" si="26"/>
        <v>0</v>
      </c>
      <c r="L151" s="63"/>
      <c r="M151" s="81"/>
    </row>
    <row r="152" spans="1:13" s="44" customFormat="1" x14ac:dyDescent="0.2">
      <c r="A152" s="17">
        <f>IF(F152&lt;&gt;"",1+MAX($A$6:A151),"")</f>
        <v>114</v>
      </c>
      <c r="B152" s="2" t="s">
        <v>23</v>
      </c>
      <c r="C152" s="2"/>
      <c r="D152" s="39"/>
      <c r="E152" s="40" t="s">
        <v>88</v>
      </c>
      <c r="F152" s="34">
        <f>8.7*21</f>
        <v>182.7</v>
      </c>
      <c r="G152" s="38">
        <v>0.05</v>
      </c>
      <c r="H152" s="35">
        <f t="shared" si="24"/>
        <v>191.83500000000001</v>
      </c>
      <c r="I152" s="36" t="s">
        <v>21</v>
      </c>
      <c r="J152" s="52">
        <f t="shared" si="25"/>
        <v>0</v>
      </c>
      <c r="K152" s="42">
        <f t="shared" si="26"/>
        <v>0</v>
      </c>
      <c r="L152" s="63"/>
      <c r="M152" s="81"/>
    </row>
    <row r="153" spans="1:13" s="1" customFormat="1" x14ac:dyDescent="0.2">
      <c r="A153" s="17" t="str">
        <f>IF(F153&lt;&gt;"",1+MAX($A$6:A152),"")</f>
        <v/>
      </c>
      <c r="B153" s="2"/>
      <c r="C153" s="2"/>
      <c r="D153" s="24"/>
      <c r="E153" s="40"/>
      <c r="F153" s="34"/>
      <c r="G153" s="38"/>
      <c r="H153" s="35"/>
      <c r="I153" s="36"/>
      <c r="J153" s="52"/>
      <c r="K153" s="42"/>
      <c r="L153" s="63"/>
      <c r="M153" s="79"/>
    </row>
    <row r="154" spans="1:13" s="44" customFormat="1" x14ac:dyDescent="0.2">
      <c r="A154" s="17" t="str">
        <f>IF(F154&lt;&gt;"",1+MAX($A$6:A153),"")</f>
        <v/>
      </c>
      <c r="B154" s="2"/>
      <c r="C154" s="2"/>
      <c r="D154" s="39"/>
      <c r="E154" s="69" t="s">
        <v>89</v>
      </c>
      <c r="F154" s="34"/>
      <c r="G154" s="38"/>
      <c r="H154" s="35"/>
      <c r="I154" s="36"/>
      <c r="J154" s="52"/>
      <c r="K154" s="42"/>
      <c r="L154" s="63"/>
      <c r="M154" s="81"/>
    </row>
    <row r="155" spans="1:13" s="44" customFormat="1" x14ac:dyDescent="0.2">
      <c r="A155" s="17">
        <f>IF(F155&lt;&gt;"",1+MAX($A$6:A154),"")</f>
        <v>115</v>
      </c>
      <c r="B155" s="2" t="s">
        <v>23</v>
      </c>
      <c r="C155" s="2"/>
      <c r="D155" s="39"/>
      <c r="E155" s="40" t="s">
        <v>90</v>
      </c>
      <c r="F155" s="34">
        <f>(399.1*2)*23.34</f>
        <v>18629.988000000001</v>
      </c>
      <c r="G155" s="38">
        <v>0.05</v>
      </c>
      <c r="H155" s="35">
        <f>F155*(1+G155)</f>
        <v>19561.487400000002</v>
      </c>
      <c r="I155" s="36" t="s">
        <v>21</v>
      </c>
      <c r="J155" s="52">
        <f>J$10</f>
        <v>0</v>
      </c>
      <c r="K155" s="42">
        <f>J155*H155</f>
        <v>0</v>
      </c>
      <c r="L155" s="63"/>
      <c r="M155" s="81"/>
    </row>
    <row r="156" spans="1:13" s="44" customFormat="1" x14ac:dyDescent="0.2">
      <c r="A156" s="17">
        <f>IF(F156&lt;&gt;"",1+MAX($A$6:A155),"")</f>
        <v>116</v>
      </c>
      <c r="B156" s="2" t="s">
        <v>23</v>
      </c>
      <c r="C156" s="2"/>
      <c r="D156" s="39"/>
      <c r="E156" s="40" t="s">
        <v>91</v>
      </c>
      <c r="F156" s="34">
        <f>(1674.7)*27.59</f>
        <v>46204.972999999998</v>
      </c>
      <c r="G156" s="38">
        <v>0.05</v>
      </c>
      <c r="H156" s="35">
        <f>F156*(1+G156)</f>
        <v>48515.221649999999</v>
      </c>
      <c r="I156" s="36" t="s">
        <v>21</v>
      </c>
      <c r="J156" s="52">
        <f>J$10</f>
        <v>0</v>
      </c>
      <c r="K156" s="42">
        <f>J156*H156</f>
        <v>0</v>
      </c>
      <c r="L156" s="63"/>
      <c r="M156" s="81"/>
    </row>
    <row r="157" spans="1:13" s="44" customFormat="1" x14ac:dyDescent="0.2">
      <c r="A157" s="17" t="str">
        <f>IF(F157&lt;&gt;"",1+MAX($A$6:A156),"")</f>
        <v/>
      </c>
      <c r="B157" s="2"/>
      <c r="C157" s="2"/>
      <c r="D157" s="39"/>
      <c r="E157" s="40"/>
      <c r="F157" s="34"/>
      <c r="G157" s="38"/>
      <c r="H157" s="35"/>
      <c r="I157" s="36"/>
      <c r="J157" s="52"/>
      <c r="K157" s="42"/>
      <c r="L157" s="63"/>
      <c r="M157" s="81"/>
    </row>
    <row r="158" spans="1:13" s="44" customFormat="1" x14ac:dyDescent="0.2">
      <c r="A158" s="17" t="str">
        <f>IF(F158&lt;&gt;"",1+MAX($A$6:A157),"")</f>
        <v/>
      </c>
      <c r="B158" s="2"/>
      <c r="C158" s="2"/>
      <c r="D158" s="39"/>
      <c r="E158" s="69" t="s">
        <v>45</v>
      </c>
      <c r="F158" s="34"/>
      <c r="G158" s="38"/>
      <c r="H158" s="35"/>
      <c r="I158" s="36"/>
      <c r="J158" s="52"/>
      <c r="K158" s="42"/>
      <c r="L158" s="63"/>
      <c r="M158" s="81"/>
    </row>
    <row r="159" spans="1:13" s="44" customFormat="1" x14ac:dyDescent="0.2">
      <c r="A159" s="17">
        <f>IF(F159&lt;&gt;"",1+MAX($A$6:A158),"")</f>
        <v>117</v>
      </c>
      <c r="B159" s="2" t="s">
        <v>23</v>
      </c>
      <c r="C159" s="2" t="s">
        <v>52</v>
      </c>
      <c r="D159" s="39"/>
      <c r="E159" s="40" t="s">
        <v>54</v>
      </c>
      <c r="F159" s="34">
        <f>14397</f>
        <v>14397</v>
      </c>
      <c r="G159" s="38">
        <v>0.05</v>
      </c>
      <c r="H159" s="35">
        <f t="shared" ref="H159:H164" si="27">F159*(1+G159)</f>
        <v>15116.85</v>
      </c>
      <c r="I159" s="36" t="s">
        <v>46</v>
      </c>
      <c r="J159" s="133">
        <v>0</v>
      </c>
      <c r="K159" s="42">
        <f t="shared" ref="K159:K164" si="28">J159*H159</f>
        <v>0</v>
      </c>
      <c r="L159" s="63"/>
      <c r="M159" s="81"/>
    </row>
    <row r="160" spans="1:13" s="44" customFormat="1" x14ac:dyDescent="0.2">
      <c r="A160" s="17">
        <f>IF(F160&lt;&gt;"",1+MAX($A$6:A159),"")</f>
        <v>118</v>
      </c>
      <c r="B160" s="2" t="s">
        <v>23</v>
      </c>
      <c r="C160" s="2" t="s">
        <v>52</v>
      </c>
      <c r="D160" s="39"/>
      <c r="E160" s="40" t="s">
        <v>55</v>
      </c>
      <c r="F160" s="34">
        <v>1240</v>
      </c>
      <c r="G160" s="38">
        <v>0.05</v>
      </c>
      <c r="H160" s="35">
        <f t="shared" si="27"/>
        <v>1302</v>
      </c>
      <c r="I160" s="36" t="s">
        <v>46</v>
      </c>
      <c r="J160" s="133">
        <v>0</v>
      </c>
      <c r="K160" s="42">
        <f t="shared" si="28"/>
        <v>0</v>
      </c>
      <c r="L160" s="63"/>
      <c r="M160" s="81"/>
    </row>
    <row r="161" spans="1:13" s="44" customFormat="1" x14ac:dyDescent="0.2">
      <c r="A161" s="17">
        <f>IF(F161&lt;&gt;"",1+MAX($A$6:A160),"")</f>
        <v>119</v>
      </c>
      <c r="B161" s="2" t="s">
        <v>23</v>
      </c>
      <c r="C161" s="2"/>
      <c r="D161" s="39"/>
      <c r="E161" s="40" t="s">
        <v>58</v>
      </c>
      <c r="F161" s="34">
        <f>70.1</f>
        <v>70.099999999999994</v>
      </c>
      <c r="G161" s="38">
        <v>0.05</v>
      </c>
      <c r="H161" s="35">
        <f t="shared" si="27"/>
        <v>73.605000000000004</v>
      </c>
      <c r="I161" s="36" t="s">
        <v>46</v>
      </c>
      <c r="J161" s="133">
        <v>0</v>
      </c>
      <c r="K161" s="42">
        <f t="shared" si="28"/>
        <v>0</v>
      </c>
      <c r="L161" s="63"/>
      <c r="M161" s="81"/>
    </row>
    <row r="162" spans="1:13" s="44" customFormat="1" ht="31.5" x14ac:dyDescent="0.2">
      <c r="A162" s="17">
        <f>IF(F162&lt;&gt;"",1+MAX($A$6:A161),"")</f>
        <v>120</v>
      </c>
      <c r="B162" s="2" t="s">
        <v>23</v>
      </c>
      <c r="C162" s="2" t="s">
        <v>52</v>
      </c>
      <c r="D162" s="39"/>
      <c r="E162" s="40" t="s">
        <v>61</v>
      </c>
      <c r="F162" s="34">
        <v>9593.6</v>
      </c>
      <c r="G162" s="38">
        <v>0.05</v>
      </c>
      <c r="H162" s="35">
        <f t="shared" si="27"/>
        <v>10073.280000000001</v>
      </c>
      <c r="I162" s="36" t="s">
        <v>46</v>
      </c>
      <c r="J162" s="133">
        <v>0</v>
      </c>
      <c r="K162" s="42">
        <f t="shared" si="28"/>
        <v>0</v>
      </c>
      <c r="L162" s="63"/>
      <c r="M162" s="81"/>
    </row>
    <row r="163" spans="1:13" s="44" customFormat="1" ht="31.5" x14ac:dyDescent="0.2">
      <c r="A163" s="17">
        <f>IF(F163&lt;&gt;"",1+MAX($A$6:A162),"")</f>
        <v>121</v>
      </c>
      <c r="B163" s="2" t="s">
        <v>23</v>
      </c>
      <c r="C163" s="2" t="s">
        <v>52</v>
      </c>
      <c r="D163" s="39"/>
      <c r="E163" s="40" t="s">
        <v>64</v>
      </c>
      <c r="F163" s="34">
        <v>4312</v>
      </c>
      <c r="G163" s="38">
        <v>0.05</v>
      </c>
      <c r="H163" s="35">
        <f t="shared" si="27"/>
        <v>4527.6000000000004</v>
      </c>
      <c r="I163" s="36" t="s">
        <v>46</v>
      </c>
      <c r="J163" s="133">
        <v>0</v>
      </c>
      <c r="K163" s="42">
        <f t="shared" si="28"/>
        <v>0</v>
      </c>
      <c r="L163" s="63"/>
      <c r="M163" s="81"/>
    </row>
    <row r="164" spans="1:13" s="44" customFormat="1" ht="31.5" x14ac:dyDescent="0.2">
      <c r="A164" s="17">
        <f>IF(F164&lt;&gt;"",1+MAX($A$6:A163),"")</f>
        <v>122</v>
      </c>
      <c r="B164" s="2" t="s">
        <v>23</v>
      </c>
      <c r="C164" s="2" t="s">
        <v>52</v>
      </c>
      <c r="D164" s="39"/>
      <c r="E164" s="40" t="s">
        <v>65</v>
      </c>
      <c r="F164" s="34">
        <v>593.5</v>
      </c>
      <c r="G164" s="38">
        <v>0.05</v>
      </c>
      <c r="H164" s="35">
        <f t="shared" si="27"/>
        <v>623.17500000000007</v>
      </c>
      <c r="I164" s="36" t="s">
        <v>46</v>
      </c>
      <c r="J164" s="133">
        <v>0</v>
      </c>
      <c r="K164" s="42">
        <f t="shared" si="28"/>
        <v>0</v>
      </c>
      <c r="L164" s="63"/>
      <c r="M164" s="81"/>
    </row>
    <row r="165" spans="1:13" s="1" customFormat="1" ht="16.5" thickBot="1" x14ac:dyDescent="0.25">
      <c r="A165" s="17" t="str">
        <f>IF(F165&lt;&gt;"",1+MAX($A$6:A164),"")</f>
        <v/>
      </c>
      <c r="B165" s="2"/>
      <c r="C165" s="2"/>
      <c r="D165" s="2"/>
      <c r="E165" s="40"/>
      <c r="F165" s="34"/>
      <c r="G165" s="38"/>
      <c r="H165" s="35"/>
      <c r="I165" s="36"/>
      <c r="J165" s="52"/>
      <c r="K165" s="42"/>
      <c r="L165" s="63"/>
      <c r="M165" s="79"/>
    </row>
    <row r="166" spans="1:13" s="1" customFormat="1" ht="16.5" thickBot="1" x14ac:dyDescent="0.25">
      <c r="A166" s="17" t="str">
        <f>IF(F166&lt;&gt;"",1+MAX($A$6:A165),"")</f>
        <v/>
      </c>
      <c r="B166" s="23"/>
      <c r="C166" s="48"/>
      <c r="D166" s="49"/>
      <c r="E166" s="71" t="s">
        <v>31</v>
      </c>
      <c r="F166" s="68"/>
      <c r="G166" s="61"/>
      <c r="H166" s="29"/>
      <c r="I166" s="30"/>
      <c r="J166" s="51"/>
      <c r="K166" s="27"/>
      <c r="L166" s="63"/>
      <c r="M166" s="79"/>
    </row>
    <row r="167" spans="1:13" s="44" customFormat="1" x14ac:dyDescent="0.2">
      <c r="A167" s="17" t="str">
        <f>IF(F167&lt;&gt;"",1+MAX($A$6:A166),"")</f>
        <v/>
      </c>
      <c r="B167" s="2"/>
      <c r="C167" s="2"/>
      <c r="D167" s="39"/>
      <c r="E167" s="69" t="s">
        <v>229</v>
      </c>
      <c r="F167" s="34"/>
      <c r="G167" s="38"/>
      <c r="H167" s="35"/>
      <c r="I167" s="36"/>
      <c r="J167" s="52"/>
      <c r="K167" s="42"/>
      <c r="L167" s="63"/>
      <c r="M167" s="81"/>
    </row>
    <row r="168" spans="1:13" s="44" customFormat="1" ht="47.25" x14ac:dyDescent="0.2">
      <c r="A168" s="17">
        <f>IF(F168&lt;&gt;"",1+MAX($A$6:A167),"")</f>
        <v>123</v>
      </c>
      <c r="B168" s="2" t="s">
        <v>66</v>
      </c>
      <c r="C168" s="2"/>
      <c r="D168" s="39"/>
      <c r="E168" s="85" t="s">
        <v>250</v>
      </c>
      <c r="F168" s="34">
        <f>4*37.5*122</f>
        <v>18300</v>
      </c>
      <c r="G168" s="38">
        <v>0.05</v>
      </c>
      <c r="H168" s="35">
        <f>F168*(1+G168)</f>
        <v>19215</v>
      </c>
      <c r="I168" s="36" t="s">
        <v>21</v>
      </c>
      <c r="J168" s="52">
        <f>J$10</f>
        <v>0</v>
      </c>
      <c r="K168" s="42">
        <f>J168*H168</f>
        <v>0</v>
      </c>
      <c r="L168" s="63"/>
      <c r="M168" s="81"/>
    </row>
    <row r="169" spans="1:13" s="1" customFormat="1" ht="47.25" x14ac:dyDescent="0.2">
      <c r="A169" s="17">
        <f>IF(F169&lt;&gt;"",1+MAX($A$6:A168),"")</f>
        <v>124</v>
      </c>
      <c r="B169" s="2" t="s">
        <v>66</v>
      </c>
      <c r="C169" s="2"/>
      <c r="D169" s="24"/>
      <c r="E169" s="85" t="s">
        <v>251</v>
      </c>
      <c r="F169" s="34">
        <f>7*37.5*111</f>
        <v>29137.5</v>
      </c>
      <c r="G169" s="38">
        <v>0.05</v>
      </c>
      <c r="H169" s="35">
        <f>F169*(1+G169)</f>
        <v>30594.375</v>
      </c>
      <c r="I169" s="36" t="s">
        <v>21</v>
      </c>
      <c r="J169" s="52">
        <f>J$10</f>
        <v>0</v>
      </c>
      <c r="K169" s="42">
        <f>J169*H169</f>
        <v>0</v>
      </c>
      <c r="L169" s="63"/>
      <c r="M169" s="79"/>
    </row>
    <row r="170" spans="1:13" s="1" customFormat="1" ht="47.25" x14ac:dyDescent="0.2">
      <c r="A170" s="17">
        <f>IF(F170&lt;&gt;"",1+MAX($A$6:A169),"")</f>
        <v>125</v>
      </c>
      <c r="B170" s="2" t="s">
        <v>66</v>
      </c>
      <c r="C170" s="2"/>
      <c r="D170" s="24"/>
      <c r="E170" s="85" t="s">
        <v>253</v>
      </c>
      <c r="F170" s="34">
        <f>2*37.5*93</f>
        <v>6975</v>
      </c>
      <c r="G170" s="38">
        <v>0.05</v>
      </c>
      <c r="H170" s="35">
        <f>F170*(1+G170)</f>
        <v>7323.75</v>
      </c>
      <c r="I170" s="36" t="s">
        <v>21</v>
      </c>
      <c r="J170" s="52">
        <f>J$10</f>
        <v>0</v>
      </c>
      <c r="K170" s="42">
        <f>J170*H170</f>
        <v>0</v>
      </c>
      <c r="L170" s="63"/>
      <c r="M170" s="79"/>
    </row>
    <row r="171" spans="1:13" s="1" customFormat="1" ht="47.25" x14ac:dyDescent="0.2">
      <c r="A171" s="17">
        <f>IF(F171&lt;&gt;"",1+MAX($A$6:A170),"")</f>
        <v>126</v>
      </c>
      <c r="B171" s="2" t="s">
        <v>66</v>
      </c>
      <c r="C171" s="2"/>
      <c r="D171" s="24"/>
      <c r="E171" s="85" t="s">
        <v>252</v>
      </c>
      <c r="F171" s="34">
        <f>3*37.5*73</f>
        <v>8212.5</v>
      </c>
      <c r="G171" s="38">
        <v>0.05</v>
      </c>
      <c r="H171" s="35">
        <f>F171*(1+G171)</f>
        <v>8623.125</v>
      </c>
      <c r="I171" s="36" t="s">
        <v>21</v>
      </c>
      <c r="J171" s="52">
        <f>J$10</f>
        <v>0</v>
      </c>
      <c r="K171" s="42">
        <f>J171*H171</f>
        <v>0</v>
      </c>
      <c r="L171" s="63"/>
      <c r="M171" s="79"/>
    </row>
    <row r="172" spans="1:13" s="1" customFormat="1" x14ac:dyDescent="0.2">
      <c r="A172" s="17" t="str">
        <f>IF(F172&lt;&gt;"",1+MAX($A$6:A171),"")</f>
        <v/>
      </c>
      <c r="B172" s="2"/>
      <c r="C172" s="2"/>
      <c r="D172" s="24"/>
      <c r="E172" s="40"/>
      <c r="F172" s="34"/>
      <c r="G172" s="38"/>
      <c r="H172" s="35"/>
      <c r="I172" s="36"/>
      <c r="J172" s="52"/>
      <c r="K172" s="42"/>
      <c r="L172" s="63"/>
      <c r="M172" s="79"/>
    </row>
    <row r="173" spans="1:13" s="44" customFormat="1" x14ac:dyDescent="0.2">
      <c r="A173" s="17" t="str">
        <f>IF(F173&lt;&gt;"",1+MAX($A$6:A172),"")</f>
        <v/>
      </c>
      <c r="B173" s="2"/>
      <c r="C173" s="2"/>
      <c r="D173" s="39"/>
      <c r="E173" s="69" t="s">
        <v>22</v>
      </c>
      <c r="F173" s="34"/>
      <c r="G173" s="38"/>
      <c r="H173" s="35"/>
      <c r="I173" s="36"/>
      <c r="J173" s="52"/>
      <c r="K173" s="42"/>
      <c r="L173" s="63"/>
      <c r="M173" s="81"/>
    </row>
    <row r="174" spans="1:13" s="44" customFormat="1" x14ac:dyDescent="0.2">
      <c r="A174" s="17">
        <f>IF(F174&lt;&gt;"",1+MAX($A$6:A173),"")</f>
        <v>127</v>
      </c>
      <c r="B174" s="2" t="s">
        <v>66</v>
      </c>
      <c r="C174" s="2"/>
      <c r="D174" s="39"/>
      <c r="E174" s="40" t="s">
        <v>67</v>
      </c>
      <c r="F174" s="34">
        <f>(53.8+33.5)*62</f>
        <v>5412.5999999999995</v>
      </c>
      <c r="G174" s="38">
        <v>0.05</v>
      </c>
      <c r="H174" s="35">
        <f>F174*(1+G174)</f>
        <v>5683.23</v>
      </c>
      <c r="I174" s="36" t="s">
        <v>21</v>
      </c>
      <c r="J174" s="52">
        <f>J$10</f>
        <v>0</v>
      </c>
      <c r="K174" s="42">
        <f>J174*H174</f>
        <v>0</v>
      </c>
      <c r="L174" s="63"/>
      <c r="M174" s="81"/>
    </row>
    <row r="175" spans="1:13" s="44" customFormat="1" x14ac:dyDescent="0.2">
      <c r="A175" s="17">
        <f>IF(F175&lt;&gt;"",1+MAX($A$6:A174),"")</f>
        <v>128</v>
      </c>
      <c r="B175" s="2" t="s">
        <v>66</v>
      </c>
      <c r="C175" s="2"/>
      <c r="D175" s="39"/>
      <c r="E175" s="40" t="s">
        <v>68</v>
      </c>
      <c r="F175" s="34">
        <f>(94.6+147.4)*50</f>
        <v>12100</v>
      </c>
      <c r="G175" s="38">
        <v>0.05</v>
      </c>
      <c r="H175" s="35">
        <f>F175*(1+G175)</f>
        <v>12705</v>
      </c>
      <c r="I175" s="36" t="s">
        <v>21</v>
      </c>
      <c r="J175" s="52">
        <f>J$10</f>
        <v>0</v>
      </c>
      <c r="K175" s="42">
        <f>J175*H175</f>
        <v>0</v>
      </c>
      <c r="L175" s="63"/>
      <c r="M175" s="81"/>
    </row>
    <row r="176" spans="1:13" s="44" customFormat="1" x14ac:dyDescent="0.2">
      <c r="A176" s="17">
        <f>IF(F176&lt;&gt;"",1+MAX($A$6:A175),"")</f>
        <v>129</v>
      </c>
      <c r="B176" s="2" t="s">
        <v>66</v>
      </c>
      <c r="C176" s="2"/>
      <c r="D176" s="39"/>
      <c r="E176" s="40" t="s">
        <v>69</v>
      </c>
      <c r="F176" s="34">
        <f>(15+43)*35</f>
        <v>2030</v>
      </c>
      <c r="G176" s="38">
        <v>0.05</v>
      </c>
      <c r="H176" s="35">
        <f>F176*(1+G176)</f>
        <v>2131.5</v>
      </c>
      <c r="I176" s="36" t="s">
        <v>21</v>
      </c>
      <c r="J176" s="52">
        <f>J$10</f>
        <v>0</v>
      </c>
      <c r="K176" s="42">
        <f>J176*H176</f>
        <v>0</v>
      </c>
      <c r="L176" s="63"/>
      <c r="M176" s="81"/>
    </row>
    <row r="177" spans="1:13" s="44" customFormat="1" x14ac:dyDescent="0.2">
      <c r="A177" s="17">
        <f>IF(F177&lt;&gt;"",1+MAX($A$6:A176),"")</f>
        <v>130</v>
      </c>
      <c r="B177" s="2" t="s">
        <v>66</v>
      </c>
      <c r="C177" s="2"/>
      <c r="D177" s="39"/>
      <c r="E177" s="40" t="s">
        <v>70</v>
      </c>
      <c r="F177" s="34">
        <f>25.4*57</f>
        <v>1447.8</v>
      </c>
      <c r="G177" s="38">
        <v>0.05</v>
      </c>
      <c r="H177" s="35">
        <f>F177*(1+G177)</f>
        <v>1520.19</v>
      </c>
      <c r="I177" s="36" t="s">
        <v>21</v>
      </c>
      <c r="J177" s="52">
        <f>J$10</f>
        <v>0</v>
      </c>
      <c r="K177" s="42">
        <f>J177*H177</f>
        <v>0</v>
      </c>
      <c r="L177" s="63"/>
      <c r="M177" s="81"/>
    </row>
    <row r="178" spans="1:13" s="44" customFormat="1" x14ac:dyDescent="0.2">
      <c r="A178" s="17">
        <f>IF(F178&lt;&gt;"",1+MAX($A$6:A177),"")</f>
        <v>131</v>
      </c>
      <c r="B178" s="2" t="s">
        <v>66</v>
      </c>
      <c r="C178" s="2"/>
      <c r="D178" s="39"/>
      <c r="E178" s="40" t="s">
        <v>71</v>
      </c>
      <c r="F178" s="34">
        <f>33.3*93</f>
        <v>3096.8999999999996</v>
      </c>
      <c r="G178" s="38">
        <v>0.05</v>
      </c>
      <c r="H178" s="35">
        <f>F178*(1+G178)</f>
        <v>3251.7449999999999</v>
      </c>
      <c r="I178" s="36" t="s">
        <v>21</v>
      </c>
      <c r="J178" s="52">
        <f>J$10</f>
        <v>0</v>
      </c>
      <c r="K178" s="42">
        <f>J178*H178</f>
        <v>0</v>
      </c>
      <c r="L178" s="63"/>
      <c r="M178" s="81"/>
    </row>
    <row r="179" spans="1:13" s="1" customFormat="1" x14ac:dyDescent="0.2">
      <c r="A179" s="17" t="str">
        <f>IF(F179&lt;&gt;"",1+MAX($A$6:A178),"")</f>
        <v/>
      </c>
      <c r="B179" s="2"/>
      <c r="C179" s="2"/>
      <c r="D179" s="24"/>
      <c r="E179" s="40"/>
      <c r="F179" s="34"/>
      <c r="G179" s="38"/>
      <c r="H179" s="35"/>
      <c r="I179" s="36"/>
      <c r="J179" s="52"/>
      <c r="K179" s="42"/>
      <c r="L179" s="63"/>
      <c r="M179" s="79"/>
    </row>
    <row r="180" spans="1:13" s="44" customFormat="1" x14ac:dyDescent="0.2">
      <c r="A180" s="17" t="str">
        <f>IF(F180&lt;&gt;"",1+MAX($A$6:A179),"")</f>
        <v/>
      </c>
      <c r="B180" s="2"/>
      <c r="C180" s="2"/>
      <c r="D180" s="39"/>
      <c r="E180" s="69" t="s">
        <v>72</v>
      </c>
      <c r="F180" s="34"/>
      <c r="G180" s="38"/>
      <c r="H180" s="35"/>
      <c r="I180" s="36"/>
      <c r="J180" s="52"/>
      <c r="K180" s="42"/>
      <c r="L180" s="63"/>
      <c r="M180" s="81"/>
    </row>
    <row r="181" spans="1:13" s="44" customFormat="1" x14ac:dyDescent="0.2">
      <c r="A181" s="17">
        <f>IF(F181&lt;&gt;"",1+MAX($A$6:A180),"")</f>
        <v>132</v>
      </c>
      <c r="B181" s="2" t="s">
        <v>66</v>
      </c>
      <c r="C181" s="2"/>
      <c r="D181" s="39"/>
      <c r="E181" s="40" t="s">
        <v>73</v>
      </c>
      <c r="F181" s="34">
        <f>20*28*14.83</f>
        <v>8304.7999999999993</v>
      </c>
      <c r="G181" s="38">
        <v>0.05</v>
      </c>
      <c r="H181" s="35">
        <f>F181*(1+G181)</f>
        <v>8720.0399999999991</v>
      </c>
      <c r="I181" s="36" t="s">
        <v>21</v>
      </c>
      <c r="J181" s="52">
        <f>J$10</f>
        <v>0</v>
      </c>
      <c r="K181" s="42">
        <f>J181*H181</f>
        <v>0</v>
      </c>
      <c r="L181" s="63"/>
      <c r="M181" s="81"/>
    </row>
    <row r="182" spans="1:13" s="1" customFormat="1" x14ac:dyDescent="0.2">
      <c r="A182" s="17" t="str">
        <f>IF(F182&lt;&gt;"",1+MAX($A$6:A181),"")</f>
        <v/>
      </c>
      <c r="B182" s="2"/>
      <c r="C182" s="2"/>
      <c r="D182" s="24"/>
      <c r="E182" s="40"/>
      <c r="F182" s="34"/>
      <c r="G182" s="38"/>
      <c r="H182" s="35"/>
      <c r="I182" s="36"/>
      <c r="J182" s="52"/>
      <c r="K182" s="42"/>
      <c r="L182" s="63"/>
      <c r="M182" s="79"/>
    </row>
    <row r="183" spans="1:13" s="44" customFormat="1" x14ac:dyDescent="0.2">
      <c r="A183" s="17" t="str">
        <f>IF(F183&lt;&gt;"",1+MAX($A$6:A182),"")</f>
        <v/>
      </c>
      <c r="B183" s="2"/>
      <c r="C183" s="2"/>
      <c r="D183" s="39"/>
      <c r="E183" s="69" t="s">
        <v>37</v>
      </c>
      <c r="F183" s="34"/>
      <c r="G183" s="38"/>
      <c r="H183" s="35"/>
      <c r="I183" s="36"/>
      <c r="J183" s="52"/>
      <c r="K183" s="42"/>
      <c r="L183" s="63"/>
      <c r="M183" s="81"/>
    </row>
    <row r="184" spans="1:13" s="44" customFormat="1" ht="31.5" x14ac:dyDescent="0.2">
      <c r="A184" s="17">
        <f>IF(F184&lt;&gt;"",1+MAX($A$6:A183),"")</f>
        <v>133</v>
      </c>
      <c r="B184" s="2" t="s">
        <v>66</v>
      </c>
      <c r="C184" s="2"/>
      <c r="D184" s="39"/>
      <c r="E184" s="40" t="s">
        <v>78</v>
      </c>
      <c r="F184" s="34">
        <v>5</v>
      </c>
      <c r="G184" s="38">
        <v>0</v>
      </c>
      <c r="H184" s="35">
        <f>F184*(1+G184)</f>
        <v>5</v>
      </c>
      <c r="I184" s="36" t="s">
        <v>17</v>
      </c>
      <c r="J184" s="133">
        <v>0</v>
      </c>
      <c r="K184" s="42">
        <f>J184*H184</f>
        <v>0</v>
      </c>
      <c r="L184" s="63"/>
      <c r="M184" s="81"/>
    </row>
    <row r="185" spans="1:13" s="44" customFormat="1" ht="31.5" x14ac:dyDescent="0.2">
      <c r="A185" s="17">
        <f>IF(F185&lt;&gt;"",1+MAX($A$6:A184),"")</f>
        <v>134</v>
      </c>
      <c r="B185" s="2" t="s">
        <v>66</v>
      </c>
      <c r="C185" s="2"/>
      <c r="D185" s="39"/>
      <c r="E185" s="40" t="s">
        <v>79</v>
      </c>
      <c r="F185" s="34">
        <v>11</v>
      </c>
      <c r="G185" s="38">
        <v>0</v>
      </c>
      <c r="H185" s="35">
        <f>F185*(1+G185)</f>
        <v>11</v>
      </c>
      <c r="I185" s="36" t="s">
        <v>17</v>
      </c>
      <c r="J185" s="133">
        <v>0</v>
      </c>
      <c r="K185" s="42">
        <f>J185*H185</f>
        <v>0</v>
      </c>
      <c r="L185" s="63"/>
      <c r="M185" s="81"/>
    </row>
    <row r="186" spans="1:13" s="44" customFormat="1" x14ac:dyDescent="0.2">
      <c r="A186" s="17">
        <f>IF(F186&lt;&gt;"",1+MAX($A$6:A185),"")</f>
        <v>135</v>
      </c>
      <c r="B186" s="2" t="s">
        <v>66</v>
      </c>
      <c r="C186" s="2"/>
      <c r="D186" s="39"/>
      <c r="E186" s="40" t="s">
        <v>43</v>
      </c>
      <c r="F186" s="34">
        <v>16</v>
      </c>
      <c r="G186" s="38">
        <v>0</v>
      </c>
      <c r="H186" s="35">
        <f>F186*(1+G186)</f>
        <v>16</v>
      </c>
      <c r="I186" s="36" t="s">
        <v>17</v>
      </c>
      <c r="J186" s="52">
        <f>J$39</f>
        <v>0</v>
      </c>
      <c r="K186" s="42">
        <f>J186*H186</f>
        <v>0</v>
      </c>
      <c r="L186" s="63"/>
      <c r="M186" s="81"/>
    </row>
    <row r="187" spans="1:13" s="44" customFormat="1" x14ac:dyDescent="0.2">
      <c r="A187" s="17">
        <f>IF(F187&lt;&gt;"",1+MAX($A$6:A186),"")</f>
        <v>136</v>
      </c>
      <c r="B187" s="2" t="s">
        <v>66</v>
      </c>
      <c r="C187" s="2" t="s">
        <v>76</v>
      </c>
      <c r="D187" s="39"/>
      <c r="E187" s="40" t="s">
        <v>77</v>
      </c>
      <c r="F187" s="34">
        <f>28</f>
        <v>28</v>
      </c>
      <c r="G187" s="38">
        <v>0</v>
      </c>
      <c r="H187" s="35">
        <f>F187*(1+G187)</f>
        <v>28</v>
      </c>
      <c r="I187" s="36" t="s">
        <v>17</v>
      </c>
      <c r="J187" s="52"/>
      <c r="K187" s="42">
        <f>J187*H187</f>
        <v>0</v>
      </c>
      <c r="L187" s="63"/>
      <c r="M187" s="81"/>
    </row>
    <row r="188" spans="1:13" s="44" customFormat="1" x14ac:dyDescent="0.2">
      <c r="A188" s="17">
        <f>IF(F188&lt;&gt;"",1+MAX($A$6:A187),"")</f>
        <v>137</v>
      </c>
      <c r="B188" s="2" t="s">
        <v>66</v>
      </c>
      <c r="C188" s="2" t="s">
        <v>75</v>
      </c>
      <c r="D188" s="39"/>
      <c r="E188" s="40" t="s">
        <v>74</v>
      </c>
      <c r="F188" s="34">
        <f>28</f>
        <v>28</v>
      </c>
      <c r="G188" s="38">
        <v>0</v>
      </c>
      <c r="H188" s="35">
        <f>F188*(1+G188)</f>
        <v>28</v>
      </c>
      <c r="I188" s="36" t="s">
        <v>17</v>
      </c>
      <c r="J188" s="133">
        <v>0</v>
      </c>
      <c r="K188" s="42">
        <f>J188*H188</f>
        <v>0</v>
      </c>
      <c r="L188" s="63"/>
      <c r="M188" s="81"/>
    </row>
    <row r="189" spans="1:13" s="1" customFormat="1" ht="16.5" thickBot="1" x14ac:dyDescent="0.25">
      <c r="A189" s="17" t="str">
        <f>IF(F189&lt;&gt;"",1+MAX($A$6:A188),"")</f>
        <v/>
      </c>
      <c r="B189" s="2"/>
      <c r="C189" s="2"/>
      <c r="D189" s="2"/>
      <c r="E189" s="40"/>
      <c r="F189" s="34"/>
      <c r="G189" s="38"/>
      <c r="H189" s="35"/>
      <c r="I189" s="36"/>
      <c r="J189" s="52"/>
      <c r="K189" s="42"/>
      <c r="L189" s="63"/>
      <c r="M189" s="79"/>
    </row>
    <row r="190" spans="1:13" s="1" customFormat="1" ht="16.5" thickBot="1" x14ac:dyDescent="0.25">
      <c r="A190" s="17" t="str">
        <f>IF(F190&lt;&gt;"",1+MAX($A$6:A189),"")</f>
        <v/>
      </c>
      <c r="B190" s="23"/>
      <c r="C190" s="48"/>
      <c r="D190" s="49"/>
      <c r="E190" s="71" t="s">
        <v>122</v>
      </c>
      <c r="F190" s="68"/>
      <c r="G190" s="61"/>
      <c r="H190" s="29"/>
      <c r="I190" s="30"/>
      <c r="J190" s="51"/>
      <c r="K190" s="27"/>
      <c r="L190" s="63"/>
      <c r="M190" s="79"/>
    </row>
    <row r="191" spans="1:13" s="44" customFormat="1" x14ac:dyDescent="0.2">
      <c r="A191" s="17" t="str">
        <f>IF(F191&lt;&gt;"",1+MAX($A$6:A190),"")</f>
        <v/>
      </c>
      <c r="B191" s="2"/>
      <c r="C191" s="2"/>
      <c r="D191" s="39"/>
      <c r="E191" s="69" t="s">
        <v>137</v>
      </c>
      <c r="F191" s="34"/>
      <c r="G191" s="38"/>
      <c r="H191" s="35"/>
      <c r="I191" s="36"/>
      <c r="J191" s="52"/>
      <c r="K191" s="42"/>
      <c r="L191" s="63"/>
      <c r="M191" s="81"/>
    </row>
    <row r="192" spans="1:13" s="44" customFormat="1" x14ac:dyDescent="0.2">
      <c r="A192" s="17">
        <f>IF(F192&lt;&gt;"",1+MAX($A$6:A191),"")</f>
        <v>138</v>
      </c>
      <c r="B192" s="2" t="s">
        <v>66</v>
      </c>
      <c r="C192" s="2"/>
      <c r="D192" s="39"/>
      <c r="E192" s="40" t="s">
        <v>123</v>
      </c>
      <c r="F192" s="34">
        <f>83.2*1.4142*47.9</f>
        <v>5635.9829760000002</v>
      </c>
      <c r="G192" s="38">
        <v>0.05</v>
      </c>
      <c r="H192" s="35">
        <f>F192*(1+G192)</f>
        <v>5917.7821248000009</v>
      </c>
      <c r="I192" s="36" t="s">
        <v>21</v>
      </c>
      <c r="J192" s="52">
        <f>J$10</f>
        <v>0</v>
      </c>
      <c r="K192" s="42">
        <f>J192*H192</f>
        <v>0</v>
      </c>
      <c r="L192" s="63"/>
      <c r="M192" s="81"/>
    </row>
    <row r="193" spans="1:13" s="1" customFormat="1" x14ac:dyDescent="0.2">
      <c r="A193" s="17">
        <f>IF(F193&lt;&gt;"",1+MAX($A$6:A192),"")</f>
        <v>139</v>
      </c>
      <c r="B193" s="2" t="s">
        <v>66</v>
      </c>
      <c r="C193" s="2"/>
      <c r="D193" s="24"/>
      <c r="E193" s="40" t="s">
        <v>124</v>
      </c>
      <c r="F193" s="34">
        <f>251.2*1.4142*42.79</f>
        <v>15201.020841599999</v>
      </c>
      <c r="G193" s="38">
        <v>0.05</v>
      </c>
      <c r="H193" s="35">
        <f>F193*(1+G193)</f>
        <v>15961.071883679999</v>
      </c>
      <c r="I193" s="36" t="s">
        <v>21</v>
      </c>
      <c r="J193" s="52">
        <f>J$10</f>
        <v>0</v>
      </c>
      <c r="K193" s="42">
        <f>J193*H193</f>
        <v>0</v>
      </c>
      <c r="L193" s="63"/>
      <c r="M193" s="79"/>
    </row>
    <row r="194" spans="1:13" s="1" customFormat="1" x14ac:dyDescent="0.2">
      <c r="A194" s="17" t="str">
        <f>IF(F194&lt;&gt;"",1+MAX($A$6:A193),"")</f>
        <v/>
      </c>
      <c r="B194" s="2"/>
      <c r="C194" s="2"/>
      <c r="D194" s="24"/>
      <c r="E194" s="40"/>
      <c r="F194" s="34"/>
      <c r="G194" s="38"/>
      <c r="H194" s="35"/>
      <c r="I194" s="36"/>
      <c r="J194" s="52"/>
      <c r="K194" s="42"/>
      <c r="L194" s="63"/>
      <c r="M194" s="79"/>
    </row>
    <row r="195" spans="1:13" s="44" customFormat="1" x14ac:dyDescent="0.2">
      <c r="A195" s="17" t="str">
        <f>IF(F195&lt;&gt;"",1+MAX($A$6:A194),"")</f>
        <v/>
      </c>
      <c r="B195" s="2"/>
      <c r="C195" s="2"/>
      <c r="D195" s="39"/>
      <c r="E195" s="69" t="s">
        <v>22</v>
      </c>
      <c r="F195" s="34"/>
      <c r="G195" s="38"/>
      <c r="H195" s="35"/>
      <c r="I195" s="36"/>
      <c r="J195" s="52"/>
      <c r="K195" s="42"/>
      <c r="L195" s="63"/>
      <c r="M195" s="81"/>
    </row>
    <row r="196" spans="1:13" s="1" customFormat="1" x14ac:dyDescent="0.2">
      <c r="A196" s="17">
        <f>IF(F196&lt;&gt;"",1+MAX($A$6:A195),"")</f>
        <v>140</v>
      </c>
      <c r="B196" s="2" t="s">
        <v>66</v>
      </c>
      <c r="C196" s="2"/>
      <c r="D196" s="24"/>
      <c r="E196" s="40" t="s">
        <v>125</v>
      </c>
      <c r="F196" s="34">
        <f>(26.2+27.5)*37.69</f>
        <v>2023.953</v>
      </c>
      <c r="G196" s="38">
        <v>0.05</v>
      </c>
      <c r="H196" s="35">
        <f>F196*(1+G196)</f>
        <v>2125.15065</v>
      </c>
      <c r="I196" s="36" t="s">
        <v>21</v>
      </c>
      <c r="J196" s="52">
        <f>J$10</f>
        <v>0</v>
      </c>
      <c r="K196" s="42">
        <f>J196*H196</f>
        <v>0</v>
      </c>
      <c r="L196" s="63"/>
      <c r="M196" s="79"/>
    </row>
    <row r="197" spans="1:13" s="1" customFormat="1" x14ac:dyDescent="0.2">
      <c r="A197" s="17">
        <f>IF(F197&lt;&gt;"",1+MAX($A$6:A196),"")</f>
        <v>141</v>
      </c>
      <c r="B197" s="2" t="s">
        <v>66</v>
      </c>
      <c r="C197" s="2"/>
      <c r="D197" s="24"/>
      <c r="E197" s="40" t="s">
        <v>127</v>
      </c>
      <c r="F197" s="34">
        <f>7.9*47.9</f>
        <v>378.41</v>
      </c>
      <c r="G197" s="38">
        <v>0.05</v>
      </c>
      <c r="H197" s="35">
        <f>F197*(1+G197)</f>
        <v>397.33050000000003</v>
      </c>
      <c r="I197" s="36" t="s">
        <v>21</v>
      </c>
      <c r="J197" s="52">
        <f>J$10</f>
        <v>0</v>
      </c>
      <c r="K197" s="42">
        <f>J197*H197</f>
        <v>0</v>
      </c>
      <c r="L197" s="63"/>
      <c r="M197" s="79"/>
    </row>
    <row r="198" spans="1:13" s="1" customFormat="1" x14ac:dyDescent="0.2">
      <c r="A198" s="17">
        <f>IF(F198&lt;&gt;"",1+MAX($A$6:A197),"")</f>
        <v>142</v>
      </c>
      <c r="B198" s="2" t="s">
        <v>66</v>
      </c>
      <c r="C198" s="2"/>
      <c r="D198" s="24"/>
      <c r="E198" s="40" t="s">
        <v>130</v>
      </c>
      <c r="F198" s="34">
        <f>22.4*37.69</f>
        <v>844.25599999999986</v>
      </c>
      <c r="G198" s="38">
        <v>0.05</v>
      </c>
      <c r="H198" s="35">
        <f>F198*(1+G198)</f>
        <v>886.46879999999987</v>
      </c>
      <c r="I198" s="36" t="s">
        <v>21</v>
      </c>
      <c r="J198" s="52">
        <f>J$10</f>
        <v>0</v>
      </c>
      <c r="K198" s="42">
        <f>J198*H198</f>
        <v>0</v>
      </c>
      <c r="L198" s="63"/>
      <c r="M198" s="79"/>
    </row>
    <row r="199" spans="1:13" s="1" customFormat="1" x14ac:dyDescent="0.2">
      <c r="A199" s="17" t="str">
        <f>IF(F199&lt;&gt;"",1+MAX($A$6:A198),"")</f>
        <v/>
      </c>
      <c r="B199" s="2"/>
      <c r="C199" s="2"/>
      <c r="D199" s="24"/>
      <c r="E199" s="40"/>
      <c r="F199" s="34"/>
      <c r="G199" s="38"/>
      <c r="H199" s="35"/>
      <c r="I199" s="36"/>
      <c r="J199" s="52"/>
      <c r="K199" s="42"/>
      <c r="L199" s="63"/>
      <c r="M199" s="79"/>
    </row>
    <row r="200" spans="1:13" s="44" customFormat="1" x14ac:dyDescent="0.2">
      <c r="A200" s="17" t="str">
        <f>IF(F200&lt;&gt;"",1+MAX($A$6:A199),"")</f>
        <v/>
      </c>
      <c r="B200" s="2"/>
      <c r="C200" s="2"/>
      <c r="D200" s="39"/>
      <c r="E200" s="69" t="s">
        <v>37</v>
      </c>
      <c r="F200" s="34"/>
      <c r="G200" s="38"/>
      <c r="H200" s="35"/>
      <c r="I200" s="36"/>
      <c r="J200" s="52"/>
      <c r="K200" s="42"/>
      <c r="L200" s="63"/>
      <c r="M200" s="81"/>
    </row>
    <row r="201" spans="1:13" s="44" customFormat="1" x14ac:dyDescent="0.2">
      <c r="A201" s="17">
        <f>IF(F201&lt;&gt;"",1+MAX($A$6:A200),"")</f>
        <v>143</v>
      </c>
      <c r="B201" s="2" t="s">
        <v>66</v>
      </c>
      <c r="C201" s="2"/>
      <c r="D201" s="39"/>
      <c r="E201" s="40" t="s">
        <v>63</v>
      </c>
      <c r="F201" s="34">
        <f>8.3+7.9</f>
        <v>16.200000000000003</v>
      </c>
      <c r="G201" s="38">
        <v>0.05</v>
      </c>
      <c r="H201" s="35">
        <f>F201*(1+G201)</f>
        <v>17.010000000000005</v>
      </c>
      <c r="I201" s="36" t="s">
        <v>44</v>
      </c>
      <c r="J201" s="52">
        <f>J$41</f>
        <v>0</v>
      </c>
      <c r="K201" s="42">
        <f>J201*H201</f>
        <v>0</v>
      </c>
      <c r="L201" s="63"/>
      <c r="M201" s="81"/>
    </row>
    <row r="202" spans="1:13" s="44" customFormat="1" x14ac:dyDescent="0.2">
      <c r="A202" s="17">
        <f>IF(F202&lt;&gt;"",1+MAX($A$6:A201),"")</f>
        <v>144</v>
      </c>
      <c r="B202" s="2" t="s">
        <v>66</v>
      </c>
      <c r="C202" s="2"/>
      <c r="D202" s="39"/>
      <c r="E202" s="40" t="s">
        <v>126</v>
      </c>
      <c r="F202" s="34">
        <v>23.6</v>
      </c>
      <c r="G202" s="38">
        <v>0.05</v>
      </c>
      <c r="H202" s="35">
        <f>F202*(1+G202)</f>
        <v>24.78</v>
      </c>
      <c r="I202" s="36" t="s">
        <v>44</v>
      </c>
      <c r="J202" s="133">
        <v>0</v>
      </c>
      <c r="K202" s="42">
        <f>J202*H202</f>
        <v>0</v>
      </c>
      <c r="L202" s="63"/>
      <c r="M202" s="81"/>
    </row>
    <row r="203" spans="1:13" s="1" customFormat="1" x14ac:dyDescent="0.2">
      <c r="A203" s="17" t="str">
        <f>IF(F203&lt;&gt;"",1+MAX($A$6:A202),"")</f>
        <v/>
      </c>
      <c r="B203" s="2"/>
      <c r="C203" s="2"/>
      <c r="D203" s="24"/>
      <c r="E203" s="40"/>
      <c r="F203" s="34"/>
      <c r="G203" s="38"/>
      <c r="H203" s="35"/>
      <c r="I203" s="36"/>
      <c r="J203" s="52"/>
      <c r="K203" s="42"/>
      <c r="L203" s="63"/>
      <c r="M203" s="79"/>
    </row>
    <row r="204" spans="1:13" s="44" customFormat="1" x14ac:dyDescent="0.2">
      <c r="A204" s="17" t="str">
        <f>IF(F204&lt;&gt;"",1+MAX($A$6:A203),"")</f>
        <v/>
      </c>
      <c r="B204" s="2"/>
      <c r="C204" s="2"/>
      <c r="D204" s="39"/>
      <c r="E204" s="69" t="s">
        <v>36</v>
      </c>
      <c r="F204" s="34"/>
      <c r="G204" s="38"/>
      <c r="H204" s="35"/>
      <c r="I204" s="36"/>
      <c r="J204" s="52"/>
      <c r="K204" s="42"/>
      <c r="L204" s="63"/>
      <c r="M204" s="81"/>
    </row>
    <row r="205" spans="1:13" s="44" customFormat="1" x14ac:dyDescent="0.2">
      <c r="A205" s="17">
        <f>IF(F205&lt;&gt;"",1+MAX($A$6:A204),"")</f>
        <v>145</v>
      </c>
      <c r="B205" s="2" t="s">
        <v>23</v>
      </c>
      <c r="C205" s="2"/>
      <c r="D205" s="39"/>
      <c r="E205" s="40" t="s">
        <v>42</v>
      </c>
      <c r="F205" s="34">
        <f>(50.3+22.4)*6.6</f>
        <v>479.81999999999988</v>
      </c>
      <c r="G205" s="38">
        <v>0.05</v>
      </c>
      <c r="H205" s="35">
        <f>F205*(1+G205)</f>
        <v>503.81099999999992</v>
      </c>
      <c r="I205" s="36" t="s">
        <v>21</v>
      </c>
      <c r="J205" s="52">
        <f>J$10</f>
        <v>0</v>
      </c>
      <c r="K205" s="42">
        <f>J205*H205</f>
        <v>0</v>
      </c>
      <c r="L205" s="63"/>
      <c r="M205" s="81"/>
    </row>
    <row r="206" spans="1:13" s="44" customFormat="1" x14ac:dyDescent="0.2">
      <c r="A206" s="17">
        <f>IF(F206&lt;&gt;"",1+MAX($A$6:A205),"")</f>
        <v>146</v>
      </c>
      <c r="B206" s="2" t="s">
        <v>23</v>
      </c>
      <c r="C206" s="2"/>
      <c r="D206" s="39"/>
      <c r="E206" s="40" t="s">
        <v>109</v>
      </c>
      <c r="F206" s="34">
        <f>1*2*0.75*4.9</f>
        <v>7.3500000000000005</v>
      </c>
      <c r="G206" s="38">
        <v>0.05</v>
      </c>
      <c r="H206" s="35">
        <f>F206*(1+G206)</f>
        <v>7.7175000000000011</v>
      </c>
      <c r="I206" s="36" t="s">
        <v>21</v>
      </c>
      <c r="J206" s="52">
        <f>J$10</f>
        <v>0</v>
      </c>
      <c r="K206" s="42">
        <f>J206*H206</f>
        <v>0</v>
      </c>
      <c r="L206" s="63"/>
      <c r="M206" s="81"/>
    </row>
    <row r="207" spans="1:13" s="44" customFormat="1" x14ac:dyDescent="0.2">
      <c r="A207" s="17">
        <f>IF(F207&lt;&gt;"",1+MAX($A$6:A206),"")</f>
        <v>147</v>
      </c>
      <c r="B207" s="2" t="s">
        <v>23</v>
      </c>
      <c r="C207" s="2"/>
      <c r="D207" s="39"/>
      <c r="E207" s="40" t="s">
        <v>131</v>
      </c>
      <c r="F207" s="34">
        <f>2*2*0.67*11.1</f>
        <v>29.748000000000001</v>
      </c>
      <c r="G207" s="38">
        <v>0.05</v>
      </c>
      <c r="H207" s="35">
        <f>F207*(1+G207)</f>
        <v>31.235400000000002</v>
      </c>
      <c r="I207" s="36" t="s">
        <v>21</v>
      </c>
      <c r="J207" s="52">
        <f>J$10</f>
        <v>0</v>
      </c>
      <c r="K207" s="42">
        <f>J207*H207</f>
        <v>0</v>
      </c>
      <c r="L207" s="63"/>
      <c r="M207" s="81"/>
    </row>
    <row r="208" spans="1:13" s="44" customFormat="1" x14ac:dyDescent="0.2">
      <c r="A208" s="17">
        <f>IF(F208&lt;&gt;"",1+MAX($A$6:A207),"")</f>
        <v>148</v>
      </c>
      <c r="B208" s="2" t="s">
        <v>23</v>
      </c>
      <c r="C208" s="2"/>
      <c r="D208" s="39"/>
      <c r="E208" s="40" t="s">
        <v>132</v>
      </c>
      <c r="F208" s="34">
        <f>129*0.67*2*1.8</f>
        <v>311.14800000000002</v>
      </c>
      <c r="G208" s="38">
        <v>0.05</v>
      </c>
      <c r="H208" s="35">
        <f>F208*(1+G208)</f>
        <v>326.70540000000005</v>
      </c>
      <c r="I208" s="36" t="s">
        <v>21</v>
      </c>
      <c r="J208" s="52">
        <f>J$10</f>
        <v>0</v>
      </c>
      <c r="K208" s="42">
        <f>J208*H208</f>
        <v>0</v>
      </c>
      <c r="L208" s="63"/>
      <c r="M208" s="81"/>
    </row>
    <row r="209" spans="1:13" s="1" customFormat="1" x14ac:dyDescent="0.2">
      <c r="A209" s="17" t="str">
        <f>IF(F209&lt;&gt;"",1+MAX($A$6:A208),"")</f>
        <v/>
      </c>
      <c r="B209" s="2"/>
      <c r="C209" s="2"/>
      <c r="D209" s="24"/>
      <c r="E209" s="40"/>
      <c r="F209" s="34"/>
      <c r="G209" s="38"/>
      <c r="H209" s="35"/>
      <c r="I209" s="36"/>
      <c r="J209" s="52"/>
      <c r="K209" s="42"/>
      <c r="L209" s="63"/>
      <c r="M209" s="79"/>
    </row>
    <row r="210" spans="1:13" s="44" customFormat="1" x14ac:dyDescent="0.2">
      <c r="A210" s="17" t="str">
        <f>IF(F210&lt;&gt;"",1+MAX($A$6:A209),"")</f>
        <v/>
      </c>
      <c r="B210" s="2"/>
      <c r="C210" s="2"/>
      <c r="D210" s="39"/>
      <c r="E210" s="69" t="s">
        <v>128</v>
      </c>
      <c r="F210" s="34"/>
      <c r="G210" s="38"/>
      <c r="H210" s="35"/>
      <c r="I210" s="36"/>
      <c r="J210" s="52"/>
      <c r="K210" s="42"/>
      <c r="L210" s="63"/>
      <c r="M210" s="81"/>
    </row>
    <row r="211" spans="1:13" s="44" customFormat="1" x14ac:dyDescent="0.2">
      <c r="A211" s="17">
        <f>IF(F211&lt;&gt;"",1+MAX($A$6:A210),"")</f>
        <v>149</v>
      </c>
      <c r="B211" s="2" t="s">
        <v>66</v>
      </c>
      <c r="C211" s="2"/>
      <c r="D211" s="39"/>
      <c r="E211" s="40" t="s">
        <v>129</v>
      </c>
      <c r="F211" s="34">
        <v>304</v>
      </c>
      <c r="G211" s="38">
        <v>0.05</v>
      </c>
      <c r="H211" s="35">
        <f>F211*(1+G211)</f>
        <v>319.2</v>
      </c>
      <c r="I211" s="36" t="s">
        <v>46</v>
      </c>
      <c r="J211" s="133">
        <v>0</v>
      </c>
      <c r="K211" s="42">
        <f>J211*H211</f>
        <v>0</v>
      </c>
      <c r="L211" s="63"/>
      <c r="M211" s="81"/>
    </row>
    <row r="212" spans="1:13" s="1" customFormat="1" x14ac:dyDescent="0.2">
      <c r="A212" s="17" t="str">
        <f>IF(F212&lt;&gt;"",1+MAX($A$6:A211),"")</f>
        <v/>
      </c>
      <c r="B212" s="2"/>
      <c r="C212" s="2"/>
      <c r="D212" s="24"/>
      <c r="E212" s="40"/>
      <c r="F212" s="34"/>
      <c r="G212" s="38"/>
      <c r="H212" s="35"/>
      <c r="I212" s="36"/>
      <c r="J212" s="52"/>
      <c r="K212" s="42"/>
      <c r="L212" s="63"/>
      <c r="M212" s="79"/>
    </row>
    <row r="213" spans="1:13" s="44" customFormat="1" x14ac:dyDescent="0.2">
      <c r="A213" s="17" t="str">
        <f>IF(F213&lt;&gt;"",1+MAX($A$6:A212),"")</f>
        <v/>
      </c>
      <c r="B213" s="2"/>
      <c r="C213" s="2"/>
      <c r="D213" s="39"/>
      <c r="E213" s="69" t="s">
        <v>136</v>
      </c>
      <c r="F213" s="34"/>
      <c r="G213" s="38"/>
      <c r="H213" s="35"/>
      <c r="I213" s="36"/>
      <c r="J213" s="52"/>
      <c r="K213" s="42"/>
      <c r="L213" s="63"/>
      <c r="M213" s="81"/>
    </row>
    <row r="214" spans="1:13" s="92" customFormat="1" ht="31.5" x14ac:dyDescent="0.2">
      <c r="A214" s="17">
        <f>IF(F214&lt;&gt;"",1+MAX($A$6:A213),"")</f>
        <v>150</v>
      </c>
      <c r="B214" s="2" t="s">
        <v>66</v>
      </c>
      <c r="C214" s="2"/>
      <c r="D214" s="39"/>
      <c r="E214" s="84" t="s">
        <v>133</v>
      </c>
      <c r="F214" s="34">
        <v>32</v>
      </c>
      <c r="G214" s="62">
        <v>0</v>
      </c>
      <c r="H214" s="88">
        <f>F214*(1+G214)</f>
        <v>32</v>
      </c>
      <c r="I214" s="89" t="s">
        <v>17</v>
      </c>
      <c r="J214" s="133">
        <v>0</v>
      </c>
      <c r="K214" s="90">
        <f>J214*H214</f>
        <v>0</v>
      </c>
      <c r="L214" s="91"/>
    </row>
    <row r="215" spans="1:13" s="92" customFormat="1" ht="31.5" x14ac:dyDescent="0.2">
      <c r="A215" s="17">
        <f>IF(F215&lt;&gt;"",1+MAX($A$6:A214),"")</f>
        <v>151</v>
      </c>
      <c r="B215" s="2" t="s">
        <v>66</v>
      </c>
      <c r="C215" s="2"/>
      <c r="D215" s="39"/>
      <c r="E215" s="84" t="s">
        <v>134</v>
      </c>
      <c r="F215" s="34">
        <v>63</v>
      </c>
      <c r="G215" s="62">
        <v>0</v>
      </c>
      <c r="H215" s="88">
        <f>F215*(1+G215)</f>
        <v>63</v>
      </c>
      <c r="I215" s="89" t="s">
        <v>17</v>
      </c>
      <c r="J215" s="133">
        <v>0</v>
      </c>
      <c r="K215" s="90">
        <f>J215*H215</f>
        <v>0</v>
      </c>
      <c r="L215" s="91"/>
    </row>
    <row r="216" spans="1:13" s="92" customFormat="1" ht="31.5" x14ac:dyDescent="0.2">
      <c r="A216" s="17">
        <f>IF(F216&lt;&gt;"",1+MAX($A$6:A215),"")</f>
        <v>152</v>
      </c>
      <c r="B216" s="2" t="s">
        <v>66</v>
      </c>
      <c r="C216" s="2"/>
      <c r="D216" s="39"/>
      <c r="E216" s="84" t="s">
        <v>135</v>
      </c>
      <c r="F216" s="34">
        <v>34</v>
      </c>
      <c r="G216" s="62">
        <v>0</v>
      </c>
      <c r="H216" s="88">
        <f>F216*(1+G216)</f>
        <v>34</v>
      </c>
      <c r="I216" s="89" t="s">
        <v>17</v>
      </c>
      <c r="J216" s="133">
        <v>0</v>
      </c>
      <c r="K216" s="90">
        <f>J216*H216</f>
        <v>0</v>
      </c>
      <c r="L216" s="91"/>
    </row>
    <row r="217" spans="1:13" s="1" customFormat="1" ht="16.5" thickBot="1" x14ac:dyDescent="0.25">
      <c r="A217" s="17" t="str">
        <f>IF(F217&lt;&gt;"",1+MAX($A$6:A216),"")</f>
        <v/>
      </c>
      <c r="B217" s="2"/>
      <c r="C217" s="2"/>
      <c r="D217" s="2"/>
      <c r="E217" s="40"/>
      <c r="F217" s="34"/>
      <c r="G217" s="38"/>
      <c r="H217" s="35"/>
      <c r="I217" s="36"/>
      <c r="J217" s="52"/>
      <c r="K217" s="42"/>
      <c r="L217" s="63"/>
      <c r="M217" s="79"/>
    </row>
    <row r="218" spans="1:13" s="1" customFormat="1" ht="16.5" thickBot="1" x14ac:dyDescent="0.25">
      <c r="A218" s="17" t="str">
        <f>IF(F218&lt;&gt;"",1+MAX($A$6:A217),"")</f>
        <v/>
      </c>
      <c r="B218" s="23"/>
      <c r="C218" s="48"/>
      <c r="D218" s="49"/>
      <c r="E218" s="71" t="s">
        <v>142</v>
      </c>
      <c r="F218" s="68"/>
      <c r="G218" s="61"/>
      <c r="H218" s="29"/>
      <c r="I218" s="30"/>
      <c r="J218" s="51"/>
      <c r="K218" s="27"/>
      <c r="L218" s="63"/>
      <c r="M218" s="79"/>
    </row>
    <row r="219" spans="1:13" s="44" customFormat="1" x14ac:dyDescent="0.2">
      <c r="A219" s="17">
        <f>IF(F219&lt;&gt;"",1+MAX($A$6:A218),"")</f>
        <v>153</v>
      </c>
      <c r="B219" s="2" t="s">
        <v>66</v>
      </c>
      <c r="C219" s="2"/>
      <c r="D219" s="39"/>
      <c r="E219" s="40" t="s">
        <v>143</v>
      </c>
      <c r="F219" s="34">
        <f>(2)+(3*4)+(4*5)+(6*6)+(13*7)+(17*8)+(14*9)+(17*10)+(11*11)+(6*12)+(2*13)+(1*14)+(4*15)+(7*17)+(1*18)+(4*19)+(3*20)+(3*21)+(4*22)+(2*23)+(3*24)+(1*26)+(14*27)+(1*28)+(9*29)+(1*32)+(10*33)+(1*37)+(1*38)+(3*39)+(1*43)+(1*45)+(5*47)+(2*48)+(2*51)+(1*52)+(1*81)</f>
        <v>3329</v>
      </c>
      <c r="G219" s="38">
        <v>0</v>
      </c>
      <c r="H219" s="35">
        <f t="shared" ref="H219:H226" si="29">F219*(1+G219)</f>
        <v>3329</v>
      </c>
      <c r="I219" s="36" t="s">
        <v>17</v>
      </c>
      <c r="J219" s="133">
        <v>0</v>
      </c>
      <c r="K219" s="42">
        <f t="shared" ref="K219:K226" si="30">J219*H219</f>
        <v>0</v>
      </c>
      <c r="L219" s="63"/>
      <c r="M219" s="81"/>
    </row>
    <row r="220" spans="1:13" s="44" customFormat="1" x14ac:dyDescent="0.2">
      <c r="A220" s="17">
        <f>IF(F220&lt;&gt;"",1+MAX($A$6:A219),"")</f>
        <v>154</v>
      </c>
      <c r="B220" s="2" t="s">
        <v>66</v>
      </c>
      <c r="C220" s="2"/>
      <c r="D220" s="39"/>
      <c r="E220" s="84" t="s">
        <v>49</v>
      </c>
      <c r="F220" s="34">
        <f>((4*2+2*2+5*2+3*2+3*2+23*2)*3+(10*3+4*3+6*3+3*3+1*3+1*3+2*3+3*3)*4+(3*4+2*4+4*4+7*4+2*4+6*4+1*4+8*4+2*4+6*4)*4+(31+17+5+1+15+1+32+40)*2)*0.334</f>
        <v>514.36</v>
      </c>
      <c r="G220" s="38">
        <v>0.05</v>
      </c>
      <c r="H220" s="35">
        <f t="shared" si="29"/>
        <v>540.07800000000009</v>
      </c>
      <c r="I220" s="36" t="s">
        <v>44</v>
      </c>
      <c r="J220" s="52">
        <f>J$41</f>
        <v>0</v>
      </c>
      <c r="K220" s="42">
        <f t="shared" si="30"/>
        <v>0</v>
      </c>
      <c r="L220" s="63"/>
      <c r="M220" s="81"/>
    </row>
    <row r="221" spans="1:13" s="44" customFormat="1" x14ac:dyDescent="0.2">
      <c r="A221" s="17">
        <f>IF(F221&lt;&gt;"",1+MAX($A$6:A220),"")</f>
        <v>155</v>
      </c>
      <c r="B221" s="2" t="s">
        <v>66</v>
      </c>
      <c r="C221" s="2"/>
      <c r="D221" s="39"/>
      <c r="E221" s="84" t="s">
        <v>144</v>
      </c>
      <c r="F221" s="34">
        <f>(3*4+2*4+4*4+7*4+2*4+6*4+1*4+8*4+2*4+6*4)*2</f>
        <v>328</v>
      </c>
      <c r="G221" s="38">
        <v>0</v>
      </c>
      <c r="H221" s="35">
        <f t="shared" si="29"/>
        <v>328</v>
      </c>
      <c r="I221" s="36" t="s">
        <v>17</v>
      </c>
      <c r="J221" s="133">
        <v>0</v>
      </c>
      <c r="K221" s="42">
        <f t="shared" si="30"/>
        <v>0</v>
      </c>
      <c r="L221" s="63"/>
      <c r="M221" s="81"/>
    </row>
    <row r="222" spans="1:13" s="44" customFormat="1" ht="31.5" x14ac:dyDescent="0.2">
      <c r="A222" s="17">
        <f>IF(F222&lt;&gt;"",1+MAX($A$6:A221),"")</f>
        <v>156</v>
      </c>
      <c r="B222" s="2" t="s">
        <v>66</v>
      </c>
      <c r="C222" s="2"/>
      <c r="D222" s="39"/>
      <c r="E222" s="84" t="s">
        <v>145</v>
      </c>
      <c r="F222" s="34">
        <f>(15*4+204*4+1*4+23*4+2*4+1*4)</f>
        <v>984</v>
      </c>
      <c r="G222" s="38">
        <v>0</v>
      </c>
      <c r="H222" s="35">
        <f t="shared" si="29"/>
        <v>984</v>
      </c>
      <c r="I222" s="36" t="s">
        <v>17</v>
      </c>
      <c r="J222" s="133">
        <v>0</v>
      </c>
      <c r="K222" s="42">
        <f t="shared" si="30"/>
        <v>0</v>
      </c>
      <c r="L222" s="63"/>
      <c r="M222" s="81"/>
    </row>
    <row r="223" spans="1:13" s="44" customFormat="1" ht="31.5" x14ac:dyDescent="0.2">
      <c r="A223" s="17">
        <f>IF(F223&lt;&gt;"",1+MAX($A$6:A222),"")</f>
        <v>157</v>
      </c>
      <c r="B223" s="2" t="s">
        <v>66</v>
      </c>
      <c r="C223" s="2"/>
      <c r="D223" s="39"/>
      <c r="E223" s="84" t="s">
        <v>146</v>
      </c>
      <c r="F223" s="34">
        <f>(24*4+22*4+1*4)</f>
        <v>188</v>
      </c>
      <c r="G223" s="38">
        <v>0</v>
      </c>
      <c r="H223" s="35">
        <f t="shared" si="29"/>
        <v>188</v>
      </c>
      <c r="I223" s="36" t="s">
        <v>17</v>
      </c>
      <c r="J223" s="133">
        <v>0</v>
      </c>
      <c r="K223" s="42">
        <f t="shared" si="30"/>
        <v>0</v>
      </c>
      <c r="L223" s="63"/>
      <c r="M223" s="81"/>
    </row>
    <row r="224" spans="1:13" s="44" customFormat="1" ht="31.5" x14ac:dyDescent="0.2">
      <c r="A224" s="17">
        <f>IF(F224&lt;&gt;"",1+MAX($A$6:A223),"")</f>
        <v>158</v>
      </c>
      <c r="B224" s="2" t="s">
        <v>66</v>
      </c>
      <c r="C224" s="2"/>
      <c r="D224" s="39"/>
      <c r="E224" s="84" t="s">
        <v>147</v>
      </c>
      <c r="F224" s="34">
        <f>(26*4+2*4+17*4+7*4)</f>
        <v>208</v>
      </c>
      <c r="G224" s="38">
        <v>0</v>
      </c>
      <c r="H224" s="35">
        <f t="shared" si="29"/>
        <v>208</v>
      </c>
      <c r="I224" s="36" t="s">
        <v>17</v>
      </c>
      <c r="J224" s="133">
        <v>0</v>
      </c>
      <c r="K224" s="42">
        <f t="shared" si="30"/>
        <v>0</v>
      </c>
      <c r="L224" s="63"/>
      <c r="M224" s="81"/>
    </row>
    <row r="225" spans="1:13" s="44" customFormat="1" ht="31.5" x14ac:dyDescent="0.2">
      <c r="A225" s="17">
        <f>IF(F225&lt;&gt;"",1+MAX($A$6:A224),"")</f>
        <v>159</v>
      </c>
      <c r="B225" s="2" t="s">
        <v>66</v>
      </c>
      <c r="C225" s="2"/>
      <c r="D225" s="39"/>
      <c r="E225" s="84" t="s">
        <v>148</v>
      </c>
      <c r="F225" s="34">
        <f>(12*4+2*4+9*4+3*4)</f>
        <v>104</v>
      </c>
      <c r="G225" s="38">
        <v>0</v>
      </c>
      <c r="H225" s="35">
        <f t="shared" si="29"/>
        <v>104</v>
      </c>
      <c r="I225" s="36" t="s">
        <v>17</v>
      </c>
      <c r="J225" s="133">
        <v>0</v>
      </c>
      <c r="K225" s="42">
        <f t="shared" si="30"/>
        <v>0</v>
      </c>
      <c r="L225" s="63"/>
      <c r="M225" s="81"/>
    </row>
    <row r="226" spans="1:13" s="44" customFormat="1" ht="31.5" x14ac:dyDescent="0.2">
      <c r="A226" s="17">
        <f>IF(F226&lt;&gt;"",1+MAX($A$6:A225),"")</f>
        <v>160</v>
      </c>
      <c r="B226" s="2" t="s">
        <v>66</v>
      </c>
      <c r="C226" s="2"/>
      <c r="D226" s="39"/>
      <c r="E226" s="84" t="s">
        <v>149</v>
      </c>
      <c r="F226" s="34">
        <f>(9*4+3*4+1*4+2*4)</f>
        <v>60</v>
      </c>
      <c r="G226" s="38">
        <v>0</v>
      </c>
      <c r="H226" s="35">
        <f t="shared" si="29"/>
        <v>60</v>
      </c>
      <c r="I226" s="36" t="s">
        <v>17</v>
      </c>
      <c r="J226" s="133">
        <v>0</v>
      </c>
      <c r="K226" s="42">
        <f t="shared" si="30"/>
        <v>0</v>
      </c>
      <c r="L226" s="63"/>
      <c r="M226" s="81"/>
    </row>
    <row r="227" spans="1:13" s="1" customFormat="1" ht="16.5" thickBot="1" x14ac:dyDescent="0.25">
      <c r="A227" s="17" t="str">
        <f>IF(F227&lt;&gt;"",1+MAX($A$6:A226),"")</f>
        <v/>
      </c>
      <c r="B227" s="2"/>
      <c r="C227" s="2"/>
      <c r="D227" s="2"/>
      <c r="E227" s="40"/>
      <c r="F227" s="34"/>
      <c r="G227" s="38"/>
      <c r="H227" s="35"/>
      <c r="I227" s="36"/>
      <c r="J227" s="52"/>
      <c r="K227" s="42"/>
      <c r="L227" s="63"/>
      <c r="M227" s="79"/>
    </row>
    <row r="228" spans="1:13" s="1" customFormat="1" ht="16.5" thickBot="1" x14ac:dyDescent="0.25">
      <c r="A228" s="17" t="str">
        <f>IF(F228&lt;&gt;"",1+MAX($A$6:A227),"")</f>
        <v/>
      </c>
      <c r="B228" s="23"/>
      <c r="C228" s="48"/>
      <c r="D228" s="49"/>
      <c r="E228" s="71" t="s">
        <v>138</v>
      </c>
      <c r="F228" s="34"/>
      <c r="G228" s="61"/>
      <c r="H228" s="29"/>
      <c r="I228" s="30"/>
      <c r="J228" s="51"/>
      <c r="K228" s="27"/>
      <c r="L228" s="63"/>
      <c r="M228" s="79"/>
    </row>
    <row r="229" spans="1:13" s="44" customFormat="1" ht="31.5" x14ac:dyDescent="0.2">
      <c r="A229" s="17">
        <f>IF(F229&lt;&gt;"",1+MAX($A$6:A228),"")</f>
        <v>161</v>
      </c>
      <c r="B229" s="2" t="s">
        <v>66</v>
      </c>
      <c r="C229" s="2"/>
      <c r="D229" s="39"/>
      <c r="E229" s="40" t="s">
        <v>139</v>
      </c>
      <c r="F229" s="34">
        <v>1</v>
      </c>
      <c r="G229" s="38">
        <v>0</v>
      </c>
      <c r="H229" s="35">
        <f>F229*(1+G229)</f>
        <v>1</v>
      </c>
      <c r="I229" s="36" t="s">
        <v>140</v>
      </c>
      <c r="J229" s="133">
        <v>0</v>
      </c>
      <c r="K229" s="42">
        <f>J229*H229</f>
        <v>0</v>
      </c>
      <c r="L229" s="63"/>
      <c r="M229" s="81"/>
    </row>
    <row r="230" spans="1:13" s="1" customFormat="1" x14ac:dyDescent="0.2">
      <c r="A230" s="17">
        <f>IF(F230&lt;&gt;"",1+MAX($A$6:A229),"")</f>
        <v>162</v>
      </c>
      <c r="B230" s="2" t="s">
        <v>66</v>
      </c>
      <c r="C230" s="2"/>
      <c r="D230" s="24"/>
      <c r="E230" s="40" t="s">
        <v>141</v>
      </c>
      <c r="F230" s="34">
        <f>608417*0.08</f>
        <v>48673.36</v>
      </c>
      <c r="G230" s="38">
        <v>0.05</v>
      </c>
      <c r="H230" s="35">
        <f>F230*(1+G230)</f>
        <v>51107.028000000006</v>
      </c>
      <c r="I230" s="36" t="s">
        <v>21</v>
      </c>
      <c r="J230" s="52">
        <f>J$10</f>
        <v>0</v>
      </c>
      <c r="K230" s="42">
        <f>J230*H230</f>
        <v>0</v>
      </c>
      <c r="L230" s="63"/>
      <c r="M230" s="79"/>
    </row>
    <row r="231" spans="1:13" s="13" customFormat="1" ht="16.5" thickBot="1" x14ac:dyDescent="0.25">
      <c r="A231" s="17" t="str">
        <f>IF(F231&lt;&gt;"",1+MAX($A$6:A230),"")</f>
        <v/>
      </c>
      <c r="B231" s="26"/>
      <c r="C231" s="26"/>
      <c r="D231" s="24"/>
      <c r="E231" s="33"/>
      <c r="F231" s="37"/>
      <c r="G231" s="64"/>
      <c r="H231" s="19"/>
      <c r="I231" s="20"/>
      <c r="J231" s="50"/>
      <c r="K231" s="41"/>
      <c r="L231" s="31"/>
      <c r="M231" s="82"/>
    </row>
    <row r="232" spans="1:13" s="1" customFormat="1" ht="16.5" thickBot="1" x14ac:dyDescent="0.25">
      <c r="A232" s="17" t="str">
        <f>IF(F232&lt;&gt;"",1+MAX($A$6:A231),"")</f>
        <v/>
      </c>
      <c r="B232" s="25"/>
      <c r="C232" s="26"/>
      <c r="D232" s="24"/>
      <c r="E232" s="28" t="s">
        <v>214</v>
      </c>
      <c r="F232" s="11"/>
      <c r="G232" s="65"/>
      <c r="H232" s="29"/>
      <c r="I232" s="30"/>
      <c r="J232" s="73"/>
      <c r="K232" s="138"/>
      <c r="L232" s="32">
        <f>SUM(K6:K231)</f>
        <v>0</v>
      </c>
      <c r="M232" s="79"/>
    </row>
    <row r="233" spans="1:13" s="1" customFormat="1" ht="16.5" thickBot="1" x14ac:dyDescent="0.25">
      <c r="A233" s="17" t="str">
        <f>IF(F233&lt;&gt;"",1+MAX($A$6:A232),"")</f>
        <v/>
      </c>
      <c r="B233" s="25"/>
      <c r="C233" s="26"/>
      <c r="D233" s="24"/>
      <c r="E233" s="28"/>
      <c r="F233" s="11"/>
      <c r="G233" s="62"/>
      <c r="H233" s="35"/>
      <c r="I233" s="36"/>
      <c r="J233" s="50"/>
      <c r="K233" s="139"/>
      <c r="L233" s="72"/>
      <c r="M233" s="79"/>
    </row>
    <row r="234" spans="1:13" ht="16.5" thickBot="1" x14ac:dyDescent="0.25">
      <c r="A234" s="111" t="s">
        <v>13</v>
      </c>
      <c r="B234" s="129"/>
      <c r="C234" s="129"/>
      <c r="D234" s="129"/>
      <c r="E234" s="130"/>
      <c r="F234" s="109"/>
      <c r="G234" s="131"/>
      <c r="H234" s="131"/>
      <c r="I234" s="108"/>
      <c r="J234" s="110"/>
      <c r="K234" s="112">
        <f>(SUM(K7:K233))</f>
        <v>0</v>
      </c>
      <c r="L234" s="132">
        <f>SUM(L7:L233)</f>
        <v>0</v>
      </c>
    </row>
    <row r="235" spans="1:13" ht="16.5" thickBot="1" x14ac:dyDescent="0.25">
      <c r="A235" s="122" t="s">
        <v>12</v>
      </c>
      <c r="B235" s="123"/>
      <c r="C235" s="123"/>
      <c r="D235" s="123"/>
      <c r="E235" s="124"/>
      <c r="F235" s="125"/>
      <c r="G235" s="126"/>
      <c r="H235" s="126"/>
      <c r="I235" s="127"/>
      <c r="J235" s="136">
        <v>0.3</v>
      </c>
      <c r="K235" s="137">
        <f>K234*J235</f>
        <v>0</v>
      </c>
      <c r="L235" s="128">
        <f>L234*J235</f>
        <v>0</v>
      </c>
    </row>
    <row r="236" spans="1:13" ht="16.5" thickBot="1" x14ac:dyDescent="0.25">
      <c r="A236" s="122" t="s">
        <v>151</v>
      </c>
      <c r="B236" s="123"/>
      <c r="C236" s="123"/>
      <c r="D236" s="123"/>
      <c r="E236" s="124"/>
      <c r="F236" s="125"/>
      <c r="G236" s="126"/>
      <c r="H236" s="126"/>
      <c r="I236" s="127"/>
      <c r="J236" s="136">
        <v>0.05</v>
      </c>
      <c r="K236" s="137">
        <f>K234*J236</f>
        <v>0</v>
      </c>
      <c r="L236" s="128">
        <f>L234*J236</f>
        <v>0</v>
      </c>
    </row>
    <row r="237" spans="1:13" ht="16.5" thickBot="1" x14ac:dyDescent="0.25">
      <c r="A237" s="113" t="s">
        <v>150</v>
      </c>
      <c r="B237" s="114"/>
      <c r="C237" s="114"/>
      <c r="D237" s="114"/>
      <c r="E237" s="115"/>
      <c r="F237" s="116"/>
      <c r="G237" s="117"/>
      <c r="H237" s="118"/>
      <c r="I237" s="114"/>
      <c r="J237" s="119"/>
      <c r="K237" s="120">
        <f>SUM(K234:K236)</f>
        <v>0</v>
      </c>
      <c r="L237" s="121">
        <f>SUM(L234:L236)</f>
        <v>0</v>
      </c>
    </row>
    <row r="239" spans="1:13" x14ac:dyDescent="0.2">
      <c r="J239" s="54"/>
    </row>
    <row r="240" spans="1:13" x14ac:dyDescent="0.2">
      <c r="J240" s="54"/>
    </row>
  </sheetData>
  <pageMargins left="0.25" right="0.25" top="0.75" bottom="0.75" header="0.3" footer="0.3"/>
  <pageSetup scale="70" fitToHeight="0" orientation="landscape" r:id="rId1"/>
  <headerFooter>
    <oddFooter>&amp;C&amp;P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M62"/>
  <sheetViews>
    <sheetView showGridLines="0" view="pageBreakPreview" zoomScale="80" zoomScaleNormal="90" zoomScaleSheetLayoutView="80" workbookViewId="0">
      <pane ySplit="6" topLeftCell="A7" activePane="bottomLeft" state="frozen"/>
      <selection pane="bottomLeft" activeCell="A7" sqref="A7"/>
    </sheetView>
  </sheetViews>
  <sheetFormatPr defaultColWidth="9.6640625" defaultRowHeight="15.75" x14ac:dyDescent="0.2"/>
  <cols>
    <col min="1" max="1" width="5.6640625" style="223" customWidth="1"/>
    <col min="2" max="2" width="11.77734375" style="224" customWidth="1"/>
    <col min="3" max="3" width="14.109375" style="224" customWidth="1"/>
    <col min="4" max="4" width="6.88671875" style="224" customWidth="1"/>
    <col min="5" max="5" width="63.21875" style="225" bestFit="1" customWidth="1"/>
    <col min="6" max="6" width="8.44140625" style="226" customWidth="1"/>
    <col min="7" max="7" width="8.109375" style="227" customWidth="1"/>
    <col min="8" max="8" width="7.88671875" style="227" customWidth="1"/>
    <col min="9" max="9" width="7.109375" style="224" customWidth="1"/>
    <col min="10" max="10" width="9.33203125" style="228" customWidth="1"/>
    <col min="11" max="11" width="11.44140625" style="229" customWidth="1"/>
    <col min="12" max="12" width="11.6640625" style="147" customWidth="1"/>
    <col min="13" max="16384" width="9.6640625" style="222"/>
  </cols>
  <sheetData>
    <row r="1" spans="1:13" s="43" customFormat="1" x14ac:dyDescent="0.2">
      <c r="A1" s="56" t="s">
        <v>6</v>
      </c>
      <c r="B1" s="57"/>
      <c r="C1" s="55" t="s">
        <v>227</v>
      </c>
      <c r="D1" s="55"/>
      <c r="E1" s="86"/>
      <c r="F1" s="58"/>
      <c r="G1" s="58"/>
      <c r="H1" s="58"/>
      <c r="I1" s="58"/>
      <c r="J1" s="59"/>
      <c r="K1" s="58"/>
      <c r="L1" s="60"/>
      <c r="M1" s="78"/>
    </row>
    <row r="2" spans="1:13" s="1" customFormat="1" x14ac:dyDescent="0.2">
      <c r="A2" s="14" t="s">
        <v>7</v>
      </c>
      <c r="B2" s="15"/>
      <c r="C2" s="21" t="s">
        <v>227</v>
      </c>
      <c r="D2" s="70"/>
      <c r="E2" s="87"/>
      <c r="F2" s="13"/>
      <c r="G2" s="12"/>
      <c r="H2" s="12"/>
      <c r="I2" s="12"/>
      <c r="J2" s="74"/>
      <c r="K2" s="75"/>
      <c r="L2" s="76"/>
      <c r="M2" s="79"/>
    </row>
    <row r="3" spans="1:13" s="1" customFormat="1" x14ac:dyDescent="0.2">
      <c r="A3" s="16" t="s">
        <v>8</v>
      </c>
      <c r="B3" s="15"/>
      <c r="C3" s="22">
        <v>44900</v>
      </c>
      <c r="D3" s="22"/>
      <c r="E3" s="87"/>
      <c r="F3" s="13"/>
      <c r="G3" s="12"/>
      <c r="H3" s="12"/>
      <c r="I3" s="12"/>
      <c r="J3" s="134"/>
      <c r="K3" s="77"/>
      <c r="L3" s="76"/>
      <c r="M3" s="79"/>
    </row>
    <row r="4" spans="1:13" s="1" customFormat="1" x14ac:dyDescent="0.2">
      <c r="A4" s="16" t="s">
        <v>9</v>
      </c>
      <c r="B4" s="15"/>
      <c r="C4" s="22">
        <v>44848</v>
      </c>
      <c r="D4" s="22"/>
      <c r="E4" s="13"/>
      <c r="F4" s="13"/>
      <c r="G4" s="12"/>
      <c r="H4" s="12"/>
      <c r="I4" s="12"/>
      <c r="J4" s="134"/>
      <c r="K4" s="77"/>
      <c r="L4" s="76"/>
      <c r="M4" s="79"/>
    </row>
    <row r="5" spans="1:13" s="1" customFormat="1" ht="16.5" thickBot="1" x14ac:dyDescent="0.25">
      <c r="A5" s="93" t="s">
        <v>234</v>
      </c>
      <c r="B5" s="94"/>
      <c r="C5" s="95">
        <f>L$62</f>
        <v>0</v>
      </c>
      <c r="D5" s="95"/>
      <c r="E5" s="13"/>
      <c r="F5" s="13"/>
      <c r="G5" s="96"/>
      <c r="H5" s="96"/>
      <c r="I5" s="96"/>
      <c r="J5" s="134"/>
      <c r="K5" s="66"/>
      <c r="L5" s="76"/>
      <c r="M5" s="79"/>
    </row>
    <row r="6" spans="1:13" s="186" customFormat="1" ht="37.5" customHeight="1" thickBot="1" x14ac:dyDescent="0.25">
      <c r="A6" s="182" t="s">
        <v>10</v>
      </c>
      <c r="B6" s="183" t="s">
        <v>14</v>
      </c>
      <c r="C6" s="183" t="s">
        <v>15</v>
      </c>
      <c r="D6" s="183" t="s">
        <v>156</v>
      </c>
      <c r="E6" s="183" t="s">
        <v>1</v>
      </c>
      <c r="F6" s="183" t="s">
        <v>157</v>
      </c>
      <c r="G6" s="183" t="s">
        <v>3</v>
      </c>
      <c r="H6" s="183" t="s">
        <v>4</v>
      </c>
      <c r="I6" s="183" t="s">
        <v>0</v>
      </c>
      <c r="J6" s="183" t="s">
        <v>158</v>
      </c>
      <c r="K6" s="184" t="s">
        <v>5</v>
      </c>
      <c r="L6" s="185" t="s">
        <v>11</v>
      </c>
    </row>
    <row r="7" spans="1:13" s="196" customFormat="1" ht="16.5" thickBot="1" x14ac:dyDescent="0.25">
      <c r="A7" s="187" t="str">
        <f>IF(F7&lt;&gt;"",1+MAX(#REF!),"")</f>
        <v/>
      </c>
      <c r="B7" s="188"/>
      <c r="C7" s="189"/>
      <c r="D7" s="190"/>
      <c r="E7" s="191" t="s">
        <v>19</v>
      </c>
      <c r="F7" s="192"/>
      <c r="G7" s="193"/>
      <c r="H7" s="193"/>
      <c r="I7" s="193"/>
      <c r="J7" s="194"/>
      <c r="K7" s="195"/>
      <c r="L7" s="91"/>
    </row>
    <row r="8" spans="1:13" s="1" customFormat="1" ht="16.5" thickBot="1" x14ac:dyDescent="0.25">
      <c r="A8" s="17" t="str">
        <f>IF(F8&lt;&gt;"",1+MAX(#REF!),"")</f>
        <v/>
      </c>
      <c r="B8" s="23"/>
      <c r="C8" s="48"/>
      <c r="D8" s="49"/>
      <c r="E8" s="71" t="s">
        <v>159</v>
      </c>
      <c r="F8" s="68"/>
      <c r="G8" s="61"/>
      <c r="H8" s="29"/>
      <c r="I8" s="30"/>
      <c r="J8" s="51"/>
      <c r="K8" s="27"/>
      <c r="L8" s="63"/>
      <c r="M8" s="79"/>
    </row>
    <row r="9" spans="1:13" s="92" customFormat="1" ht="96.75" customHeight="1" x14ac:dyDescent="0.2">
      <c r="A9" s="187">
        <f>IF(F9&lt;&gt;"",1+MAX(A1:A8),"")</f>
        <v>1</v>
      </c>
      <c r="B9" s="197" t="s">
        <v>160</v>
      </c>
      <c r="C9" s="197" t="s">
        <v>161</v>
      </c>
      <c r="D9" s="200"/>
      <c r="E9" s="201" t="s">
        <v>162</v>
      </c>
      <c r="F9" s="202">
        <v>37.200000000000003</v>
      </c>
      <c r="G9" s="62">
        <v>0.05</v>
      </c>
      <c r="H9" s="203">
        <f t="shared" ref="H9:H16" si="0">F9*(1+G9)</f>
        <v>39.06</v>
      </c>
      <c r="I9" s="204" t="s">
        <v>44</v>
      </c>
      <c r="J9" s="205">
        <v>0</v>
      </c>
      <c r="K9" s="90">
        <f t="shared" ref="K9:K16" si="1">J9*H9</f>
        <v>0</v>
      </c>
      <c r="L9" s="91"/>
    </row>
    <row r="10" spans="1:13" s="92" customFormat="1" ht="119.25" customHeight="1" x14ac:dyDescent="0.2">
      <c r="A10" s="187">
        <f t="shared" ref="A10:A57" si="2">IF(F10&lt;&gt;"",1+MAX(A2:A9),"")</f>
        <v>2</v>
      </c>
      <c r="B10" s="197" t="s">
        <v>160</v>
      </c>
      <c r="C10" s="197" t="s">
        <v>163</v>
      </c>
      <c r="D10" s="200"/>
      <c r="E10" s="201" t="s">
        <v>164</v>
      </c>
      <c r="F10" s="202">
        <v>90.5</v>
      </c>
      <c r="G10" s="62">
        <v>0.05</v>
      </c>
      <c r="H10" s="203">
        <f t="shared" si="0"/>
        <v>95.025000000000006</v>
      </c>
      <c r="I10" s="204" t="s">
        <v>44</v>
      </c>
      <c r="J10" s="205">
        <v>0</v>
      </c>
      <c r="K10" s="90">
        <f t="shared" si="1"/>
        <v>0</v>
      </c>
      <c r="L10" s="91"/>
    </row>
    <row r="11" spans="1:13" s="92" customFormat="1" ht="272.25" customHeight="1" x14ac:dyDescent="0.2">
      <c r="A11" s="187">
        <f t="shared" si="2"/>
        <v>3</v>
      </c>
      <c r="B11" s="197" t="s">
        <v>160</v>
      </c>
      <c r="C11" s="197" t="s">
        <v>165</v>
      </c>
      <c r="D11" s="200"/>
      <c r="E11" s="201" t="s">
        <v>166</v>
      </c>
      <c r="F11" s="202">
        <v>19.100000000000001</v>
      </c>
      <c r="G11" s="62">
        <v>0.05</v>
      </c>
      <c r="H11" s="203">
        <f t="shared" si="0"/>
        <v>20.055000000000003</v>
      </c>
      <c r="I11" s="204" t="s">
        <v>44</v>
      </c>
      <c r="J11" s="205">
        <v>0</v>
      </c>
      <c r="K11" s="90">
        <f t="shared" si="1"/>
        <v>0</v>
      </c>
      <c r="L11" s="91"/>
    </row>
    <row r="12" spans="1:13" s="92" customFormat="1" ht="189" x14ac:dyDescent="0.2">
      <c r="A12" s="187">
        <f t="shared" si="2"/>
        <v>4</v>
      </c>
      <c r="B12" s="197" t="s">
        <v>160</v>
      </c>
      <c r="C12" s="197" t="s">
        <v>167</v>
      </c>
      <c r="D12" s="200"/>
      <c r="E12" s="201" t="s">
        <v>168</v>
      </c>
      <c r="F12" s="202">
        <v>75.900000000000006</v>
      </c>
      <c r="G12" s="62">
        <v>0.05</v>
      </c>
      <c r="H12" s="203">
        <f t="shared" si="0"/>
        <v>79.695000000000007</v>
      </c>
      <c r="I12" s="204" t="s">
        <v>44</v>
      </c>
      <c r="J12" s="205">
        <v>0</v>
      </c>
      <c r="K12" s="90">
        <f t="shared" si="1"/>
        <v>0</v>
      </c>
      <c r="L12" s="91"/>
    </row>
    <row r="13" spans="1:13" s="92" customFormat="1" ht="212.25" customHeight="1" x14ac:dyDescent="0.2">
      <c r="A13" s="187">
        <f t="shared" si="2"/>
        <v>5</v>
      </c>
      <c r="B13" s="197" t="s">
        <v>160</v>
      </c>
      <c r="C13" s="197" t="s">
        <v>169</v>
      </c>
      <c r="D13" s="200"/>
      <c r="E13" s="201" t="s">
        <v>170</v>
      </c>
      <c r="F13" s="202">
        <f>145.3*1.13+79.9</f>
        <v>244.089</v>
      </c>
      <c r="G13" s="62">
        <v>0.05</v>
      </c>
      <c r="H13" s="203">
        <f t="shared" si="0"/>
        <v>256.29345000000001</v>
      </c>
      <c r="I13" s="204" t="s">
        <v>44</v>
      </c>
      <c r="J13" s="205">
        <v>0</v>
      </c>
      <c r="K13" s="90">
        <f t="shared" si="1"/>
        <v>0</v>
      </c>
      <c r="L13" s="91"/>
    </row>
    <row r="14" spans="1:13" s="92" customFormat="1" ht="199.5" customHeight="1" x14ac:dyDescent="0.2">
      <c r="A14" s="187">
        <f t="shared" si="2"/>
        <v>6</v>
      </c>
      <c r="B14" s="197" t="s">
        <v>160</v>
      </c>
      <c r="C14" s="197" t="s">
        <v>167</v>
      </c>
      <c r="D14" s="200"/>
      <c r="E14" s="201" t="s">
        <v>171</v>
      </c>
      <c r="F14" s="202">
        <v>19.899999999999999</v>
      </c>
      <c r="G14" s="62">
        <v>0.05</v>
      </c>
      <c r="H14" s="203">
        <f t="shared" si="0"/>
        <v>20.895</v>
      </c>
      <c r="I14" s="204" t="s">
        <v>44</v>
      </c>
      <c r="J14" s="205">
        <v>0</v>
      </c>
      <c r="K14" s="90">
        <f t="shared" si="1"/>
        <v>0</v>
      </c>
      <c r="L14" s="91"/>
    </row>
    <row r="15" spans="1:13" s="92" customFormat="1" ht="189" x14ac:dyDescent="0.2">
      <c r="A15" s="187">
        <f t="shared" si="2"/>
        <v>7</v>
      </c>
      <c r="B15" s="197" t="s">
        <v>160</v>
      </c>
      <c r="C15" s="197" t="s">
        <v>172</v>
      </c>
      <c r="D15" s="200"/>
      <c r="E15" s="201" t="s">
        <v>173</v>
      </c>
      <c r="F15" s="202">
        <f>86.8*1.13</f>
        <v>98.083999999999989</v>
      </c>
      <c r="G15" s="62">
        <v>0.05</v>
      </c>
      <c r="H15" s="203">
        <f t="shared" si="0"/>
        <v>102.98819999999999</v>
      </c>
      <c r="I15" s="204" t="s">
        <v>44</v>
      </c>
      <c r="J15" s="205">
        <v>0</v>
      </c>
      <c r="K15" s="90">
        <f t="shared" si="1"/>
        <v>0</v>
      </c>
      <c r="L15" s="91"/>
    </row>
    <row r="16" spans="1:13" s="92" customFormat="1" ht="189" x14ac:dyDescent="0.2">
      <c r="A16" s="187">
        <f t="shared" si="2"/>
        <v>8</v>
      </c>
      <c r="B16" s="197" t="s">
        <v>160</v>
      </c>
      <c r="C16" s="197" t="s">
        <v>167</v>
      </c>
      <c r="D16" s="200"/>
      <c r="E16" s="201" t="s">
        <v>174</v>
      </c>
      <c r="F16" s="202">
        <v>40.1</v>
      </c>
      <c r="G16" s="62">
        <v>0.05</v>
      </c>
      <c r="H16" s="203">
        <f t="shared" si="0"/>
        <v>42.105000000000004</v>
      </c>
      <c r="I16" s="204" t="s">
        <v>44</v>
      </c>
      <c r="J16" s="205">
        <v>0</v>
      </c>
      <c r="K16" s="90">
        <f t="shared" si="1"/>
        <v>0</v>
      </c>
      <c r="L16" s="91"/>
    </row>
    <row r="17" spans="1:13" s="92" customFormat="1" ht="16.5" thickBot="1" x14ac:dyDescent="0.25">
      <c r="A17" s="187" t="str">
        <f t="shared" si="2"/>
        <v/>
      </c>
      <c r="B17" s="197"/>
      <c r="C17" s="197"/>
      <c r="D17" s="200"/>
      <c r="E17" s="201"/>
      <c r="F17" s="202"/>
      <c r="G17" s="202"/>
      <c r="H17" s="202"/>
      <c r="I17" s="202"/>
      <c r="J17" s="202"/>
      <c r="K17" s="90"/>
      <c r="L17" s="91"/>
    </row>
    <row r="18" spans="1:13" s="1" customFormat="1" ht="16.5" thickBot="1" x14ac:dyDescent="0.25">
      <c r="A18" s="187" t="str">
        <f t="shared" si="2"/>
        <v/>
      </c>
      <c r="B18" s="23"/>
      <c r="C18" s="48"/>
      <c r="D18" s="49"/>
      <c r="E18" s="71" t="s">
        <v>223</v>
      </c>
      <c r="F18" s="68"/>
      <c r="G18" s="61"/>
      <c r="H18" s="29"/>
      <c r="I18" s="30"/>
      <c r="J18" s="51"/>
      <c r="K18" s="27"/>
      <c r="L18" s="63"/>
      <c r="M18" s="79"/>
    </row>
    <row r="19" spans="1:13" s="92" customFormat="1" ht="63" x14ac:dyDescent="0.2">
      <c r="A19" s="187">
        <f t="shared" si="2"/>
        <v>9</v>
      </c>
      <c r="B19" s="197" t="s">
        <v>225</v>
      </c>
      <c r="C19" s="197" t="s">
        <v>224</v>
      </c>
      <c r="D19" s="200"/>
      <c r="E19" s="201" t="s">
        <v>226</v>
      </c>
      <c r="F19" s="202">
        <f>88.3*2+15.8*3</f>
        <v>224</v>
      </c>
      <c r="G19" s="62">
        <v>0.05</v>
      </c>
      <c r="H19" s="203">
        <f t="shared" ref="H19" si="3">F19*(1+G19)</f>
        <v>235.20000000000002</v>
      </c>
      <c r="I19" s="204" t="s">
        <v>44</v>
      </c>
      <c r="J19" s="205">
        <v>0</v>
      </c>
      <c r="K19" s="90">
        <f t="shared" ref="K19" si="4">J19*H19</f>
        <v>0</v>
      </c>
      <c r="L19" s="91"/>
    </row>
    <row r="20" spans="1:13" s="92" customFormat="1" ht="16.5" thickBot="1" x14ac:dyDescent="0.25">
      <c r="A20" s="187" t="str">
        <f t="shared" si="2"/>
        <v/>
      </c>
      <c r="B20" s="197"/>
      <c r="C20" s="197"/>
      <c r="D20" s="200"/>
      <c r="E20" s="201"/>
      <c r="F20" s="202"/>
      <c r="G20" s="202"/>
      <c r="H20" s="202"/>
      <c r="I20" s="202"/>
      <c r="J20" s="202"/>
      <c r="K20" s="90"/>
      <c r="L20" s="91"/>
    </row>
    <row r="21" spans="1:13" s="1" customFormat="1" ht="16.5" thickBot="1" x14ac:dyDescent="0.25">
      <c r="A21" s="187" t="str">
        <f t="shared" si="2"/>
        <v/>
      </c>
      <c r="B21" s="23"/>
      <c r="C21" s="48"/>
      <c r="D21" s="49"/>
      <c r="E21" s="71" t="s">
        <v>175</v>
      </c>
      <c r="F21" s="68"/>
      <c r="G21" s="61"/>
      <c r="H21" s="29"/>
      <c r="I21" s="30"/>
      <c r="J21" s="51"/>
      <c r="K21" s="27"/>
      <c r="L21" s="63"/>
      <c r="M21" s="79"/>
    </row>
    <row r="22" spans="1:13" s="92" customFormat="1" x14ac:dyDescent="0.2">
      <c r="A22" s="187">
        <f t="shared" si="2"/>
        <v>10</v>
      </c>
      <c r="B22" s="197" t="s">
        <v>176</v>
      </c>
      <c r="C22" s="197" t="s">
        <v>177</v>
      </c>
      <c r="D22" s="200"/>
      <c r="E22" s="201" t="s">
        <v>178</v>
      </c>
      <c r="F22" s="202">
        <f>151.5+12*6</f>
        <v>223.5</v>
      </c>
      <c r="G22" s="62">
        <v>0.05</v>
      </c>
      <c r="H22" s="203">
        <f>F22*(1+G22)</f>
        <v>234.67500000000001</v>
      </c>
      <c r="I22" s="204" t="s">
        <v>46</v>
      </c>
      <c r="J22" s="205">
        <v>0</v>
      </c>
      <c r="K22" s="90">
        <f>J22*H22</f>
        <v>0</v>
      </c>
      <c r="L22" s="91"/>
    </row>
    <row r="23" spans="1:13" s="92" customFormat="1" ht="16.5" thickBot="1" x14ac:dyDescent="0.25">
      <c r="A23" s="187" t="str">
        <f t="shared" si="2"/>
        <v/>
      </c>
      <c r="B23" s="197"/>
      <c r="C23" s="197"/>
      <c r="D23" s="200"/>
      <c r="E23" s="201"/>
      <c r="F23" s="202"/>
      <c r="G23" s="202"/>
      <c r="H23" s="202"/>
      <c r="I23" s="202"/>
      <c r="J23" s="202"/>
      <c r="K23" s="90"/>
      <c r="L23" s="91"/>
    </row>
    <row r="24" spans="1:13" s="1" customFormat="1" ht="16.5" thickBot="1" x14ac:dyDescent="0.25">
      <c r="A24" s="187" t="str">
        <f t="shared" si="2"/>
        <v/>
      </c>
      <c r="B24" s="23"/>
      <c r="C24" s="48"/>
      <c r="D24" s="49"/>
      <c r="E24" s="71" t="s">
        <v>182</v>
      </c>
      <c r="F24" s="68"/>
      <c r="G24" s="61"/>
      <c r="H24" s="29"/>
      <c r="I24" s="30"/>
      <c r="J24" s="51"/>
      <c r="K24" s="27"/>
      <c r="L24" s="63"/>
      <c r="M24" s="79"/>
    </row>
    <row r="25" spans="1:13" s="92" customFormat="1" ht="131.25" customHeight="1" x14ac:dyDescent="0.2">
      <c r="A25" s="187">
        <f t="shared" si="2"/>
        <v>11</v>
      </c>
      <c r="B25" s="2" t="s">
        <v>183</v>
      </c>
      <c r="C25" s="2"/>
      <c r="D25" s="39"/>
      <c r="E25" s="84" t="s">
        <v>184</v>
      </c>
      <c r="F25" s="34">
        <v>4</v>
      </c>
      <c r="G25" s="62">
        <v>0</v>
      </c>
      <c r="H25" s="88">
        <f t="shared" ref="H25:H30" si="5">F25*(1+G25)</f>
        <v>4</v>
      </c>
      <c r="I25" s="89" t="s">
        <v>17</v>
      </c>
      <c r="J25" s="205">
        <v>0</v>
      </c>
      <c r="K25" s="90">
        <f t="shared" ref="K25:K30" si="6">J25*H25</f>
        <v>0</v>
      </c>
      <c r="L25" s="91"/>
    </row>
    <row r="26" spans="1:13" s="92" customFormat="1" ht="130.5" customHeight="1" x14ac:dyDescent="0.2">
      <c r="A26" s="187">
        <f t="shared" si="2"/>
        <v>12</v>
      </c>
      <c r="B26" s="2" t="s">
        <v>183</v>
      </c>
      <c r="C26" s="2"/>
      <c r="D26" s="39"/>
      <c r="E26" s="84" t="s">
        <v>185</v>
      </c>
      <c r="F26" s="34">
        <v>4</v>
      </c>
      <c r="G26" s="62">
        <v>0</v>
      </c>
      <c r="H26" s="88">
        <f t="shared" si="5"/>
        <v>4</v>
      </c>
      <c r="I26" s="89" t="s">
        <v>17</v>
      </c>
      <c r="J26" s="205">
        <v>0</v>
      </c>
      <c r="K26" s="90">
        <f t="shared" si="6"/>
        <v>0</v>
      </c>
      <c r="L26" s="91"/>
    </row>
    <row r="27" spans="1:13" s="92" customFormat="1" ht="127.5" customHeight="1" x14ac:dyDescent="0.2">
      <c r="A27" s="187">
        <f t="shared" si="2"/>
        <v>13</v>
      </c>
      <c r="B27" s="2" t="s">
        <v>183</v>
      </c>
      <c r="C27" s="2"/>
      <c r="D27" s="39"/>
      <c r="E27" s="84" t="s">
        <v>186</v>
      </c>
      <c r="F27" s="34">
        <v>1</v>
      </c>
      <c r="G27" s="62">
        <v>0</v>
      </c>
      <c r="H27" s="88">
        <f t="shared" si="5"/>
        <v>1</v>
      </c>
      <c r="I27" s="89" t="s">
        <v>17</v>
      </c>
      <c r="J27" s="205">
        <v>0</v>
      </c>
      <c r="K27" s="90">
        <f t="shared" si="6"/>
        <v>0</v>
      </c>
      <c r="L27" s="91"/>
    </row>
    <row r="28" spans="1:13" s="92" customFormat="1" ht="139.5" customHeight="1" x14ac:dyDescent="0.2">
      <c r="A28" s="187">
        <f t="shared" si="2"/>
        <v>14</v>
      </c>
      <c r="B28" s="2" t="s">
        <v>183</v>
      </c>
      <c r="C28" s="2"/>
      <c r="D28" s="39"/>
      <c r="E28" s="84" t="s">
        <v>187</v>
      </c>
      <c r="F28" s="34">
        <v>1</v>
      </c>
      <c r="G28" s="62">
        <v>0</v>
      </c>
      <c r="H28" s="88">
        <f t="shared" si="5"/>
        <v>1</v>
      </c>
      <c r="I28" s="89" t="s">
        <v>17</v>
      </c>
      <c r="J28" s="205">
        <v>0</v>
      </c>
      <c r="K28" s="90">
        <f t="shared" si="6"/>
        <v>0</v>
      </c>
      <c r="L28" s="91"/>
    </row>
    <row r="29" spans="1:13" s="92" customFormat="1" ht="146.25" customHeight="1" x14ac:dyDescent="0.2">
      <c r="A29" s="187">
        <f t="shared" si="2"/>
        <v>15</v>
      </c>
      <c r="B29" s="2"/>
      <c r="C29" s="2"/>
      <c r="D29" s="39"/>
      <c r="E29" s="84" t="s">
        <v>188</v>
      </c>
      <c r="F29" s="34">
        <v>1</v>
      </c>
      <c r="G29" s="62">
        <v>0</v>
      </c>
      <c r="H29" s="88">
        <f t="shared" si="5"/>
        <v>1</v>
      </c>
      <c r="I29" s="89" t="s">
        <v>17</v>
      </c>
      <c r="J29" s="205">
        <v>0</v>
      </c>
      <c r="K29" s="90">
        <f t="shared" si="6"/>
        <v>0</v>
      </c>
      <c r="L29" s="91"/>
    </row>
    <row r="30" spans="1:13" s="92" customFormat="1" ht="165" customHeight="1" x14ac:dyDescent="0.2">
      <c r="A30" s="187">
        <f t="shared" si="2"/>
        <v>16</v>
      </c>
      <c r="B30" s="2"/>
      <c r="C30" s="2"/>
      <c r="D30" s="39"/>
      <c r="E30" s="84" t="s">
        <v>189</v>
      </c>
      <c r="F30" s="34">
        <v>2</v>
      </c>
      <c r="G30" s="62">
        <v>0</v>
      </c>
      <c r="H30" s="88">
        <f t="shared" si="5"/>
        <v>2</v>
      </c>
      <c r="I30" s="89" t="s">
        <v>17</v>
      </c>
      <c r="J30" s="205">
        <v>0</v>
      </c>
      <c r="K30" s="90">
        <f t="shared" si="6"/>
        <v>0</v>
      </c>
      <c r="L30" s="91"/>
    </row>
    <row r="31" spans="1:13" s="92" customFormat="1" ht="16.5" thickBot="1" x14ac:dyDescent="0.25">
      <c r="A31" s="187" t="str">
        <f t="shared" si="2"/>
        <v/>
      </c>
      <c r="B31" s="2"/>
      <c r="C31" s="2"/>
      <c r="D31" s="39"/>
      <c r="E31" s="84"/>
      <c r="F31" s="34"/>
      <c r="G31" s="34"/>
      <c r="H31" s="34"/>
      <c r="I31" s="34"/>
      <c r="J31" s="34"/>
      <c r="K31" s="90"/>
      <c r="L31" s="91"/>
    </row>
    <row r="32" spans="1:13" s="92" customFormat="1" ht="16.5" thickBot="1" x14ac:dyDescent="0.25">
      <c r="A32" s="187" t="str">
        <f t="shared" si="2"/>
        <v/>
      </c>
      <c r="B32" s="2"/>
      <c r="C32" s="2"/>
      <c r="D32" s="230"/>
      <c r="E32" s="71" t="s">
        <v>190</v>
      </c>
      <c r="F32" s="34"/>
      <c r="G32" s="62"/>
      <c r="H32" s="35"/>
      <c r="I32" s="36"/>
      <c r="J32" s="198"/>
      <c r="K32" s="199"/>
      <c r="L32" s="91"/>
    </row>
    <row r="33" spans="1:13" s="92" customFormat="1" ht="287.25" customHeight="1" x14ac:dyDescent="0.2">
      <c r="A33" s="187">
        <f t="shared" si="2"/>
        <v>17</v>
      </c>
      <c r="B33" s="2" t="s">
        <v>191</v>
      </c>
      <c r="C33" s="2"/>
      <c r="D33" s="39"/>
      <c r="E33" s="84" t="s">
        <v>192</v>
      </c>
      <c r="F33" s="34">
        <v>1</v>
      </c>
      <c r="G33" s="62">
        <v>0</v>
      </c>
      <c r="H33" s="88">
        <f t="shared" ref="H33:H40" si="7">F33*(1+G33)</f>
        <v>1</v>
      </c>
      <c r="I33" s="89" t="s">
        <v>17</v>
      </c>
      <c r="J33" s="205">
        <v>0</v>
      </c>
      <c r="K33" s="90">
        <f t="shared" ref="K33:K40" si="8">J33*H33</f>
        <v>0</v>
      </c>
      <c r="L33" s="91"/>
    </row>
    <row r="34" spans="1:13" s="92" customFormat="1" ht="228" customHeight="1" x14ac:dyDescent="0.2">
      <c r="A34" s="187">
        <f t="shared" si="2"/>
        <v>18</v>
      </c>
      <c r="B34" s="2" t="s">
        <v>191</v>
      </c>
      <c r="C34" s="2"/>
      <c r="D34" s="39"/>
      <c r="E34" s="84" t="s">
        <v>193</v>
      </c>
      <c r="F34" s="34">
        <v>1</v>
      </c>
      <c r="G34" s="62">
        <v>0</v>
      </c>
      <c r="H34" s="88">
        <f t="shared" si="7"/>
        <v>1</v>
      </c>
      <c r="I34" s="89" t="s">
        <v>17</v>
      </c>
      <c r="J34" s="205">
        <v>0</v>
      </c>
      <c r="K34" s="90">
        <f t="shared" si="8"/>
        <v>0</v>
      </c>
      <c r="L34" s="91"/>
    </row>
    <row r="35" spans="1:13" s="92" customFormat="1" ht="231.75" customHeight="1" x14ac:dyDescent="0.2">
      <c r="A35" s="187">
        <f t="shared" si="2"/>
        <v>19</v>
      </c>
      <c r="B35" s="2" t="s">
        <v>191</v>
      </c>
      <c r="C35" s="2"/>
      <c r="D35" s="39"/>
      <c r="E35" s="84" t="s">
        <v>194</v>
      </c>
      <c r="F35" s="34">
        <v>1</v>
      </c>
      <c r="G35" s="62">
        <v>0</v>
      </c>
      <c r="H35" s="88">
        <f t="shared" si="7"/>
        <v>1</v>
      </c>
      <c r="I35" s="89" t="s">
        <v>17</v>
      </c>
      <c r="J35" s="205">
        <v>0</v>
      </c>
      <c r="K35" s="90">
        <f t="shared" si="8"/>
        <v>0</v>
      </c>
      <c r="L35" s="91"/>
    </row>
    <row r="36" spans="1:13" s="92" customFormat="1" ht="267.75" x14ac:dyDescent="0.2">
      <c r="A36" s="187">
        <f t="shared" si="2"/>
        <v>20</v>
      </c>
      <c r="B36" s="2" t="s">
        <v>191</v>
      </c>
      <c r="C36" s="2"/>
      <c r="D36" s="39"/>
      <c r="E36" s="84" t="s">
        <v>195</v>
      </c>
      <c r="F36" s="34">
        <v>1</v>
      </c>
      <c r="G36" s="62">
        <v>0</v>
      </c>
      <c r="H36" s="88">
        <f t="shared" si="7"/>
        <v>1</v>
      </c>
      <c r="I36" s="89" t="s">
        <v>17</v>
      </c>
      <c r="J36" s="205">
        <v>0</v>
      </c>
      <c r="K36" s="90">
        <f t="shared" si="8"/>
        <v>0</v>
      </c>
      <c r="L36" s="91"/>
    </row>
    <row r="37" spans="1:13" s="92" customFormat="1" ht="228" customHeight="1" x14ac:dyDescent="0.2">
      <c r="A37" s="187">
        <f t="shared" si="2"/>
        <v>21</v>
      </c>
      <c r="B37" s="2" t="s">
        <v>191</v>
      </c>
      <c r="C37" s="2"/>
      <c r="D37" s="39"/>
      <c r="E37" s="84" t="s">
        <v>196</v>
      </c>
      <c r="F37" s="34">
        <v>1</v>
      </c>
      <c r="G37" s="62">
        <v>0</v>
      </c>
      <c r="H37" s="88">
        <f t="shared" si="7"/>
        <v>1</v>
      </c>
      <c r="I37" s="89" t="s">
        <v>17</v>
      </c>
      <c r="J37" s="205">
        <v>0</v>
      </c>
      <c r="K37" s="90">
        <f t="shared" si="8"/>
        <v>0</v>
      </c>
      <c r="L37" s="91"/>
    </row>
    <row r="38" spans="1:13" s="92" customFormat="1" ht="223.5" customHeight="1" x14ac:dyDescent="0.2">
      <c r="A38" s="187">
        <f t="shared" si="2"/>
        <v>22</v>
      </c>
      <c r="B38" s="2" t="s">
        <v>191</v>
      </c>
      <c r="C38" s="2"/>
      <c r="D38" s="39"/>
      <c r="E38" s="84" t="s">
        <v>197</v>
      </c>
      <c r="F38" s="34">
        <v>1</v>
      </c>
      <c r="G38" s="62">
        <v>0</v>
      </c>
      <c r="H38" s="88">
        <f t="shared" si="7"/>
        <v>1</v>
      </c>
      <c r="I38" s="89" t="s">
        <v>17</v>
      </c>
      <c r="J38" s="205">
        <v>0</v>
      </c>
      <c r="K38" s="90">
        <f t="shared" si="8"/>
        <v>0</v>
      </c>
      <c r="L38" s="91"/>
    </row>
    <row r="39" spans="1:13" s="92" customFormat="1" ht="267.75" x14ac:dyDescent="0.2">
      <c r="A39" s="187">
        <f t="shared" si="2"/>
        <v>23</v>
      </c>
      <c r="B39" s="2" t="s">
        <v>191</v>
      </c>
      <c r="C39" s="2"/>
      <c r="D39" s="39"/>
      <c r="E39" s="84" t="s">
        <v>198</v>
      </c>
      <c r="F39" s="34">
        <v>1</v>
      </c>
      <c r="G39" s="62">
        <v>0</v>
      </c>
      <c r="H39" s="88">
        <f t="shared" si="7"/>
        <v>1</v>
      </c>
      <c r="I39" s="89" t="s">
        <v>17</v>
      </c>
      <c r="J39" s="205">
        <v>0</v>
      </c>
      <c r="K39" s="90">
        <f t="shared" si="8"/>
        <v>0</v>
      </c>
      <c r="L39" s="91"/>
    </row>
    <row r="40" spans="1:13" s="92" customFormat="1" ht="220.5" customHeight="1" x14ac:dyDescent="0.2">
      <c r="A40" s="187">
        <f t="shared" si="2"/>
        <v>24</v>
      </c>
      <c r="B40" s="2" t="s">
        <v>191</v>
      </c>
      <c r="C40" s="2"/>
      <c r="D40" s="39"/>
      <c r="E40" s="84" t="s">
        <v>199</v>
      </c>
      <c r="F40" s="34">
        <v>1</v>
      </c>
      <c r="G40" s="62">
        <v>0</v>
      </c>
      <c r="H40" s="88">
        <f t="shared" si="7"/>
        <v>1</v>
      </c>
      <c r="I40" s="89" t="s">
        <v>17</v>
      </c>
      <c r="J40" s="205">
        <v>0</v>
      </c>
      <c r="K40" s="90">
        <f t="shared" si="8"/>
        <v>0</v>
      </c>
      <c r="L40" s="91"/>
    </row>
    <row r="41" spans="1:13" s="92" customFormat="1" ht="16.5" thickBot="1" x14ac:dyDescent="0.25">
      <c r="A41" s="187" t="str">
        <f t="shared" si="2"/>
        <v/>
      </c>
      <c r="B41" s="2"/>
      <c r="C41" s="2"/>
      <c r="D41" s="39"/>
      <c r="E41" s="84"/>
      <c r="F41" s="34"/>
      <c r="G41" s="34"/>
      <c r="H41" s="34"/>
      <c r="I41" s="34"/>
      <c r="J41" s="34"/>
      <c r="K41" s="90"/>
      <c r="L41" s="91"/>
    </row>
    <row r="42" spans="1:13" s="1" customFormat="1" ht="16.5" thickBot="1" x14ac:dyDescent="0.25">
      <c r="A42" s="187" t="str">
        <f t="shared" si="2"/>
        <v/>
      </c>
      <c r="B42" s="23"/>
      <c r="C42" s="48"/>
      <c r="D42" s="49"/>
      <c r="E42" s="71" t="s">
        <v>211</v>
      </c>
      <c r="F42" s="68"/>
      <c r="G42" s="61"/>
      <c r="H42" s="29"/>
      <c r="I42" s="30"/>
      <c r="J42" s="51"/>
      <c r="K42" s="27"/>
      <c r="L42" s="63"/>
      <c r="M42" s="79"/>
    </row>
    <row r="43" spans="1:13" s="92" customFormat="1" ht="199.5" customHeight="1" x14ac:dyDescent="0.2">
      <c r="A43" s="187">
        <f t="shared" si="2"/>
        <v>25</v>
      </c>
      <c r="B43" s="2" t="s">
        <v>200</v>
      </c>
      <c r="C43" s="2" t="s">
        <v>201</v>
      </c>
      <c r="D43" s="39"/>
      <c r="E43" s="84" t="s">
        <v>202</v>
      </c>
      <c r="F43" s="34">
        <v>4</v>
      </c>
      <c r="G43" s="62">
        <v>0</v>
      </c>
      <c r="H43" s="88">
        <f>F43*(1+G43)</f>
        <v>4</v>
      </c>
      <c r="I43" s="89" t="s">
        <v>17</v>
      </c>
      <c r="J43" s="205">
        <v>0</v>
      </c>
      <c r="K43" s="90">
        <f>J43*H43</f>
        <v>0</v>
      </c>
      <c r="L43" s="91"/>
    </row>
    <row r="44" spans="1:13" s="92" customFormat="1" ht="157.5" x14ac:dyDescent="0.2">
      <c r="A44" s="187">
        <f t="shared" si="2"/>
        <v>26</v>
      </c>
      <c r="B44" s="2" t="s">
        <v>200</v>
      </c>
      <c r="C44" s="2" t="s">
        <v>203</v>
      </c>
      <c r="D44" s="39"/>
      <c r="E44" s="84" t="s">
        <v>204</v>
      </c>
      <c r="F44" s="34">
        <v>2</v>
      </c>
      <c r="G44" s="62">
        <v>0</v>
      </c>
      <c r="H44" s="88">
        <f>F44*(1+G44)</f>
        <v>2</v>
      </c>
      <c r="I44" s="89" t="s">
        <v>17</v>
      </c>
      <c r="J44" s="205">
        <v>0</v>
      </c>
      <c r="K44" s="90">
        <f>J44*H44</f>
        <v>0</v>
      </c>
      <c r="L44" s="91"/>
    </row>
    <row r="45" spans="1:13" s="92" customFormat="1" ht="142.5" customHeight="1" x14ac:dyDescent="0.2">
      <c r="A45" s="187">
        <f t="shared" si="2"/>
        <v>27</v>
      </c>
      <c r="B45" s="2" t="s">
        <v>200</v>
      </c>
      <c r="C45" s="2" t="s">
        <v>205</v>
      </c>
      <c r="D45" s="39"/>
      <c r="E45" s="84" t="s">
        <v>206</v>
      </c>
      <c r="F45" s="34">
        <v>1</v>
      </c>
      <c r="G45" s="62">
        <v>0</v>
      </c>
      <c r="H45" s="88">
        <f>F45*(1+G45)</f>
        <v>1</v>
      </c>
      <c r="I45" s="89" t="s">
        <v>17</v>
      </c>
      <c r="J45" s="205">
        <v>0</v>
      </c>
      <c r="K45" s="90">
        <f>J45*H45</f>
        <v>0</v>
      </c>
      <c r="L45" s="91"/>
    </row>
    <row r="46" spans="1:13" s="92" customFormat="1" ht="267.75" x14ac:dyDescent="0.2">
      <c r="A46" s="187">
        <f t="shared" si="2"/>
        <v>28</v>
      </c>
      <c r="B46" s="2" t="s">
        <v>200</v>
      </c>
      <c r="C46" s="2" t="s">
        <v>207</v>
      </c>
      <c r="D46" s="39"/>
      <c r="E46" s="84" t="s">
        <v>208</v>
      </c>
      <c r="F46" s="34">
        <v>1</v>
      </c>
      <c r="G46" s="62">
        <v>0</v>
      </c>
      <c r="H46" s="88">
        <f>F46*(1+G46)</f>
        <v>1</v>
      </c>
      <c r="I46" s="89" t="s">
        <v>17</v>
      </c>
      <c r="J46" s="205">
        <v>0</v>
      </c>
      <c r="K46" s="90">
        <f>J46*H46</f>
        <v>0</v>
      </c>
      <c r="L46" s="91"/>
    </row>
    <row r="47" spans="1:13" s="92" customFormat="1" ht="252" x14ac:dyDescent="0.2">
      <c r="A47" s="187">
        <f t="shared" si="2"/>
        <v>29</v>
      </c>
      <c r="B47" s="2" t="s">
        <v>200</v>
      </c>
      <c r="C47" s="2" t="s">
        <v>209</v>
      </c>
      <c r="D47" s="39"/>
      <c r="E47" s="84" t="s">
        <v>210</v>
      </c>
      <c r="F47" s="34">
        <v>2</v>
      </c>
      <c r="G47" s="62">
        <v>0</v>
      </c>
      <c r="H47" s="88">
        <f>F47*(1+G47)</f>
        <v>2</v>
      </c>
      <c r="I47" s="89" t="s">
        <v>17</v>
      </c>
      <c r="J47" s="205">
        <v>0</v>
      </c>
      <c r="K47" s="90">
        <f>J47*H47</f>
        <v>0</v>
      </c>
      <c r="L47" s="91"/>
    </row>
    <row r="48" spans="1:13" s="92" customFormat="1" ht="16.5" thickBot="1" x14ac:dyDescent="0.25">
      <c r="A48" s="187" t="str">
        <f t="shared" si="2"/>
        <v/>
      </c>
      <c r="B48" s="2"/>
      <c r="C48" s="2"/>
      <c r="D48" s="39"/>
      <c r="E48" s="84"/>
      <c r="F48" s="34"/>
      <c r="G48" s="62"/>
      <c r="H48" s="88"/>
      <c r="I48" s="89"/>
      <c r="J48" s="52"/>
      <c r="K48" s="90"/>
      <c r="L48" s="91"/>
    </row>
    <row r="49" spans="1:13" s="1" customFormat="1" ht="16.5" thickBot="1" x14ac:dyDescent="0.25">
      <c r="A49" s="187" t="str">
        <f t="shared" si="2"/>
        <v/>
      </c>
      <c r="B49" s="23"/>
      <c r="C49" s="48"/>
      <c r="D49" s="49"/>
      <c r="E49" s="71" t="s">
        <v>142</v>
      </c>
      <c r="F49" s="68"/>
      <c r="G49" s="61"/>
      <c r="H49" s="29"/>
      <c r="I49" s="30"/>
      <c r="J49" s="51"/>
      <c r="K49" s="27"/>
      <c r="L49" s="63"/>
      <c r="M49" s="79"/>
    </row>
    <row r="50" spans="1:13" s="92" customFormat="1" x14ac:dyDescent="0.2">
      <c r="A50" s="187" t="str">
        <f t="shared" si="2"/>
        <v/>
      </c>
      <c r="B50" s="197"/>
      <c r="C50" s="197"/>
      <c r="D50" s="200"/>
      <c r="E50" s="231" t="s">
        <v>213</v>
      </c>
      <c r="F50" s="202"/>
      <c r="G50" s="62"/>
      <c r="H50" s="203"/>
      <c r="I50" s="204"/>
      <c r="J50" s="51"/>
      <c r="K50" s="90"/>
      <c r="L50" s="91"/>
    </row>
    <row r="51" spans="1:13" s="92" customFormat="1" ht="94.5" x14ac:dyDescent="0.2">
      <c r="A51" s="187">
        <f t="shared" si="2"/>
        <v>30</v>
      </c>
      <c r="B51" s="197" t="s">
        <v>217</v>
      </c>
      <c r="C51" s="197" t="s">
        <v>179</v>
      </c>
      <c r="D51" s="200"/>
      <c r="E51" s="201" t="s">
        <v>219</v>
      </c>
      <c r="F51" s="202">
        <f>2*7.334*14.5</f>
        <v>212.68599999999998</v>
      </c>
      <c r="G51" s="62">
        <v>0.05</v>
      </c>
      <c r="H51" s="203">
        <f>F51*(1+G51)</f>
        <v>223.32029999999997</v>
      </c>
      <c r="I51" s="204" t="s">
        <v>46</v>
      </c>
      <c r="J51" s="205">
        <v>0</v>
      </c>
      <c r="K51" s="90">
        <f>J51*H51</f>
        <v>0</v>
      </c>
      <c r="L51" s="91"/>
    </row>
    <row r="52" spans="1:13" s="92" customFormat="1" ht="94.5" x14ac:dyDescent="0.2">
      <c r="A52" s="187">
        <f t="shared" si="2"/>
        <v>31</v>
      </c>
      <c r="B52" s="197" t="s">
        <v>221</v>
      </c>
      <c r="C52" s="197" t="s">
        <v>218</v>
      </c>
      <c r="D52" s="200"/>
      <c r="E52" s="201" t="s">
        <v>220</v>
      </c>
      <c r="F52" s="202">
        <f>1*(1.4*4)*36</f>
        <v>201.6</v>
      </c>
      <c r="G52" s="62">
        <v>0.05</v>
      </c>
      <c r="H52" s="203">
        <f>F52*(1+G52)</f>
        <v>211.68</v>
      </c>
      <c r="I52" s="204" t="s">
        <v>46</v>
      </c>
      <c r="J52" s="205">
        <v>0</v>
      </c>
      <c r="K52" s="90">
        <f>J52*H52</f>
        <v>0</v>
      </c>
      <c r="L52" s="91"/>
    </row>
    <row r="53" spans="1:13" s="92" customFormat="1" x14ac:dyDescent="0.2">
      <c r="A53" s="187" t="str">
        <f t="shared" si="2"/>
        <v/>
      </c>
      <c r="B53" s="197"/>
      <c r="C53" s="197"/>
      <c r="D53" s="200"/>
      <c r="E53" s="231" t="s">
        <v>212</v>
      </c>
      <c r="F53" s="202"/>
      <c r="G53" s="62"/>
      <c r="H53" s="203"/>
      <c r="I53" s="204"/>
      <c r="J53" s="51"/>
      <c r="K53" s="90"/>
      <c r="L53" s="91"/>
    </row>
    <row r="54" spans="1:13" s="92" customFormat="1" ht="47.25" x14ac:dyDescent="0.2">
      <c r="A54" s="187">
        <f t="shared" si="2"/>
        <v>32</v>
      </c>
      <c r="B54" s="197" t="s">
        <v>222</v>
      </c>
      <c r="C54" s="197" t="s">
        <v>180</v>
      </c>
      <c r="D54" s="200"/>
      <c r="E54" s="201" t="s">
        <v>181</v>
      </c>
      <c r="F54" s="202">
        <v>106.7</v>
      </c>
      <c r="G54" s="62">
        <v>0.1</v>
      </c>
      <c r="H54" s="203">
        <f>F54*(1+G54)</f>
        <v>117.37000000000002</v>
      </c>
      <c r="I54" s="204" t="s">
        <v>44</v>
      </c>
      <c r="J54" s="205">
        <v>0</v>
      </c>
      <c r="K54" s="90">
        <f>J54*H54</f>
        <v>0</v>
      </c>
      <c r="L54" s="91"/>
    </row>
    <row r="55" spans="1:13" s="92" customFormat="1" ht="16.5" thickBot="1" x14ac:dyDescent="0.25">
      <c r="A55" s="187" t="str">
        <f t="shared" si="2"/>
        <v/>
      </c>
      <c r="B55" s="206"/>
      <c r="C55" s="207"/>
      <c r="D55" s="197"/>
      <c r="F55" s="208"/>
      <c r="G55" s="209"/>
      <c r="H55" s="208"/>
      <c r="I55" s="210"/>
      <c r="J55" s="211"/>
      <c r="K55" s="212"/>
      <c r="L55" s="213"/>
    </row>
    <row r="56" spans="1:13" s="92" customFormat="1" ht="16.5" thickBot="1" x14ac:dyDescent="0.25">
      <c r="A56" s="187" t="str">
        <f t="shared" si="2"/>
        <v/>
      </c>
      <c r="B56" s="206"/>
      <c r="C56" s="207"/>
      <c r="D56" s="207"/>
      <c r="E56" s="214" t="s">
        <v>215</v>
      </c>
      <c r="F56" s="202"/>
      <c r="G56" s="215"/>
      <c r="H56" s="203"/>
      <c r="I56" s="204"/>
      <c r="J56" s="216"/>
      <c r="K56" s="217"/>
      <c r="L56" s="218">
        <f>SUM(K7:K55)</f>
        <v>0</v>
      </c>
    </row>
    <row r="57" spans="1:13" s="92" customFormat="1" ht="16.5" thickBot="1" x14ac:dyDescent="0.25">
      <c r="A57" s="187" t="str">
        <f t="shared" si="2"/>
        <v/>
      </c>
      <c r="B57" s="206"/>
      <c r="C57" s="207"/>
      <c r="D57" s="207"/>
      <c r="E57" s="219"/>
      <c r="F57" s="220"/>
      <c r="G57" s="221"/>
      <c r="H57" s="203"/>
      <c r="I57" s="204"/>
      <c r="J57" s="198"/>
      <c r="K57" s="90"/>
      <c r="L57" s="91"/>
      <c r="M57" s="92" t="str">
        <f>PROPER(E57)</f>
        <v/>
      </c>
    </row>
    <row r="58" spans="1:13" s="92" customFormat="1" ht="16.5" thickBot="1" x14ac:dyDescent="0.25">
      <c r="A58" s="187" t="str">
        <f>IF(F58&lt;&gt;"",1+MAX(#REF!),"")</f>
        <v/>
      </c>
      <c r="B58" s="206"/>
      <c r="C58" s="207"/>
      <c r="D58" s="207"/>
      <c r="E58" s="219"/>
      <c r="F58" s="220"/>
      <c r="G58" s="221"/>
      <c r="H58" s="203"/>
      <c r="I58" s="204"/>
      <c r="J58" s="198"/>
      <c r="K58" s="90"/>
      <c r="L58" s="91"/>
    </row>
    <row r="59" spans="1:13" s="4" customFormat="1" ht="16.5" thickBot="1" x14ac:dyDescent="0.25">
      <c r="A59" s="111" t="s">
        <v>13</v>
      </c>
      <c r="B59" s="129"/>
      <c r="C59" s="129"/>
      <c r="D59" s="129"/>
      <c r="E59" s="130"/>
      <c r="F59" s="109"/>
      <c r="G59" s="131"/>
      <c r="H59" s="131"/>
      <c r="I59" s="108"/>
      <c r="J59" s="110"/>
      <c r="K59" s="112">
        <f>(SUM(K6:K58))</f>
        <v>0</v>
      </c>
      <c r="L59" s="132">
        <f>SUM(L6:L58)</f>
        <v>0</v>
      </c>
      <c r="M59" s="83"/>
    </row>
    <row r="60" spans="1:13" s="4" customFormat="1" ht="16.5" thickBot="1" x14ac:dyDescent="0.25">
      <c r="A60" s="122" t="s">
        <v>12</v>
      </c>
      <c r="B60" s="123"/>
      <c r="C60" s="123"/>
      <c r="D60" s="123"/>
      <c r="E60" s="124"/>
      <c r="F60" s="125"/>
      <c r="G60" s="126"/>
      <c r="H60" s="126"/>
      <c r="I60" s="127"/>
      <c r="J60" s="136">
        <v>0.3</v>
      </c>
      <c r="K60" s="137">
        <f>K59*J60</f>
        <v>0</v>
      </c>
      <c r="L60" s="128">
        <f>L59*J60</f>
        <v>0</v>
      </c>
      <c r="M60" s="83"/>
    </row>
    <row r="61" spans="1:13" s="4" customFormat="1" ht="16.5" thickBot="1" x14ac:dyDescent="0.25">
      <c r="A61" s="122" t="s">
        <v>151</v>
      </c>
      <c r="B61" s="123"/>
      <c r="C61" s="123"/>
      <c r="D61" s="123"/>
      <c r="E61" s="124"/>
      <c r="F61" s="125"/>
      <c r="G61" s="126"/>
      <c r="H61" s="126"/>
      <c r="I61" s="127"/>
      <c r="J61" s="136">
        <v>0.05</v>
      </c>
      <c r="K61" s="137">
        <f>K59*J61</f>
        <v>0</v>
      </c>
      <c r="L61" s="128">
        <f>L59*J61</f>
        <v>0</v>
      </c>
      <c r="M61" s="83"/>
    </row>
    <row r="62" spans="1:13" s="4" customFormat="1" ht="16.5" thickBot="1" x14ac:dyDescent="0.25">
      <c r="A62" s="113" t="s">
        <v>216</v>
      </c>
      <c r="B62" s="114"/>
      <c r="C62" s="114"/>
      <c r="D62" s="114"/>
      <c r="E62" s="115"/>
      <c r="F62" s="116"/>
      <c r="G62" s="117"/>
      <c r="H62" s="118"/>
      <c r="I62" s="114"/>
      <c r="J62" s="119"/>
      <c r="K62" s="120">
        <f>SUM(K59:K61)</f>
        <v>0</v>
      </c>
      <c r="L62" s="121">
        <f>SUM(L59:L61)</f>
        <v>0</v>
      </c>
      <c r="M62" s="83"/>
    </row>
  </sheetData>
  <pageMargins left="0.25" right="0.25" top="0.75" bottom="0.75" header="0.3" footer="0.3"/>
  <pageSetup paperSize="9" scale="72" fitToHeight="0" orientation="landscape" r:id="rId1"/>
  <headerFooter>
    <oddFooter>&amp;C&amp;P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SUMMARY</vt:lpstr>
      <vt:lpstr>STRUCTURAL STEEL</vt:lpstr>
      <vt:lpstr>MISC. STEEL</vt:lpstr>
      <vt:lpstr>'MISC. STEEL'!Print_Area</vt:lpstr>
      <vt:lpstr>'STRUCTURAL STEEL'!Print_Area</vt:lpstr>
      <vt:lpstr>SUMMARY!Print_Area</vt:lpstr>
      <vt:lpstr>'MISC. STEEL'!Print_Titles</vt:lpstr>
      <vt:lpstr>'STRUCTURAL STEEL'!Print_Titles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2013-07-08T09:36:48Z</dcterms:created>
  <dcterms:modified xsi:type="dcterms:W3CDTF">2023-12-24T12:15:41Z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S9Connected">
    <vt:bool>true</vt:bool>
  </property>
</Properties>
</file>