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435" tabRatio="822" activeTab="1"/>
  </bookViews>
  <sheets>
    <sheet name="SUMMARY" sheetId="13" r:id="rId1"/>
    <sheet name="DETAILED ESTIMATE" sheetId="12" r:id="rId2"/>
    <sheet name="DETAILED LUMBER ORDER LIST" sheetId="14" r:id="rId3"/>
    <sheet name="TRUSSES" sheetId="15" r:id="rId4"/>
    <sheet name="MEP ESTIMATE" sheetId="18" r:id="rId5"/>
    <sheet name="SITEWORK" sheetId="17" r:id="rId6"/>
    <sheet name="CONSOLIDATED LUMBER ORDER LIST" sheetId="16" r:id="rId7"/>
  </sheets>
  <definedNames>
    <definedName name="_xlnm._FilterDatabase" localSheetId="6" hidden="1">'CONSOLIDATED LUMBER ORDER LIST'!$A$1:$D$53</definedName>
    <definedName name="_xlnm._FilterDatabase" localSheetId="1" hidden="1">'DETAILED ESTIMATE'!$A$1:$L$966</definedName>
    <definedName name="_xlnm._FilterDatabase" localSheetId="2" hidden="1">'DETAILED LUMBER ORDER LIST'!$A$1:$J$169</definedName>
    <definedName name="_xlnm._FilterDatabase" localSheetId="4" hidden="1">'MEP ESTIMATE'!$I$1:$J$287</definedName>
    <definedName name="_xlnm._FilterDatabase" localSheetId="5" hidden="1">SITEWORK!$A$1:$L$224</definedName>
    <definedName name="_xlnm._FilterDatabase" localSheetId="3" hidden="1">TRUSSES!$B$1:$C$71</definedName>
    <definedName name="BRICK">#REF!</definedName>
    <definedName name="CARP">#REF!</definedName>
    <definedName name="CARPET">#REF!</definedName>
    <definedName name="ELECT">#REF!</definedName>
    <definedName name="FINISH">#REF!</definedName>
    <definedName name="GLAZER">#REF!</definedName>
    <definedName name="IRON">#REF!</definedName>
    <definedName name="LABOR">#REF!</definedName>
    <definedName name="OPER">#REF!</definedName>
    <definedName name="PAINT">#REF!</definedName>
    <definedName name="PAR">#REF!</definedName>
    <definedName name="PLUMB">#REF!</definedName>
    <definedName name="_xlnm.Print_Area" localSheetId="1">'DETAILED ESTIMATE'!$A$1:$L$966</definedName>
    <definedName name="_xlnm.Print_Area" localSheetId="4">'MEP ESTIMATE'!$A$1:$L$287</definedName>
    <definedName name="_xlnm.Print_Area" localSheetId="5">SITEWORK!$A$1:$L$224</definedName>
    <definedName name="_xlnm.Print_Area" localSheetId="0">SUMMARY!$A$1:$F$61</definedName>
    <definedName name="Print_Area_MI">#REF!</definedName>
    <definedName name="_xlnm.Print_Titles" localSheetId="1">'DETAILED ESTIMATE'!$1:$6</definedName>
    <definedName name="_xlnm.Print_Titles" localSheetId="5">SITEWORK!$1:$6</definedName>
    <definedName name="ROOF">#REF!</definedName>
    <definedName name="SM">#REF!</definedName>
    <definedName name="SPRINKLER">#REF!</definedName>
  </definedNames>
  <calcPr calcId="152511"/>
</workbook>
</file>

<file path=xl/calcChain.xml><?xml version="1.0" encoding="utf-8"?>
<calcChain xmlns="http://schemas.openxmlformats.org/spreadsheetml/2006/main">
  <c r="I62" i="15" l="1"/>
  <c r="H62" i="15"/>
  <c r="G62" i="15"/>
  <c r="H61" i="15"/>
  <c r="I61" i="15" s="1"/>
  <c r="G61" i="15"/>
  <c r="H60" i="15"/>
  <c r="G60" i="15"/>
  <c r="I60" i="15" s="1"/>
  <c r="H59" i="15"/>
  <c r="G59" i="15"/>
  <c r="I59" i="15" s="1"/>
  <c r="A13" i="18" l="1"/>
  <c r="A14" i="18"/>
  <c r="A26" i="18"/>
  <c r="A27" i="18"/>
  <c r="A32" i="18"/>
  <c r="A33" i="18"/>
  <c r="A36" i="18"/>
  <c r="A37" i="18"/>
  <c r="A38" i="18"/>
  <c r="A39" i="18"/>
  <c r="A40" i="18"/>
  <c r="A41" i="18"/>
  <c r="A42" i="18"/>
  <c r="A43" i="18"/>
  <c r="A50" i="18"/>
  <c r="A52" i="18"/>
  <c r="A53" i="18"/>
  <c r="A58" i="18"/>
  <c r="A61" i="18"/>
  <c r="A62" i="18"/>
  <c r="A69" i="18"/>
  <c r="A70" i="18"/>
  <c r="A78" i="18"/>
  <c r="A79" i="18"/>
  <c r="A81" i="18"/>
  <c r="A82" i="18"/>
  <c r="A84" i="18"/>
  <c r="A85" i="18"/>
  <c r="A86" i="18"/>
  <c r="A87" i="18"/>
  <c r="A88" i="18"/>
  <c r="A89" i="18"/>
  <c r="A91" i="18"/>
  <c r="A92" i="18"/>
  <c r="A95" i="18"/>
  <c r="A97" i="18"/>
  <c r="A99" i="18"/>
  <c r="A100" i="18"/>
  <c r="A102" i="18"/>
  <c r="A104" i="18"/>
  <c r="A106" i="18"/>
  <c r="A107" i="18"/>
  <c r="A122" i="18"/>
  <c r="A123" i="18"/>
  <c r="A126" i="18"/>
  <c r="A127" i="18"/>
  <c r="A129" i="18"/>
  <c r="A130" i="18"/>
  <c r="A131" i="18"/>
  <c r="A132" i="18"/>
  <c r="A133" i="18"/>
  <c r="A136" i="18"/>
  <c r="A137" i="18"/>
  <c r="A139" i="18"/>
  <c r="A140" i="18"/>
  <c r="A142" i="18"/>
  <c r="A143" i="18"/>
  <c r="A146" i="18"/>
  <c r="A147" i="18"/>
  <c r="A150" i="18"/>
  <c r="A151" i="18"/>
  <c r="A153" i="18"/>
  <c r="A154" i="18"/>
  <c r="A155" i="18"/>
  <c r="A156" i="18"/>
  <c r="A157" i="18"/>
  <c r="A158" i="18"/>
  <c r="A164" i="18"/>
  <c r="A165" i="18"/>
  <c r="A170" i="18"/>
  <c r="A171" i="18"/>
  <c r="A174" i="18"/>
  <c r="A175" i="18"/>
  <c r="A177" i="18"/>
  <c r="A178" i="18"/>
  <c r="A203" i="18"/>
  <c r="A204" i="18"/>
  <c r="A206" i="18"/>
  <c r="A208" i="18"/>
  <c r="A209" i="18"/>
  <c r="A212" i="18"/>
  <c r="A213" i="18"/>
  <c r="A214" i="18"/>
  <c r="A217" i="18"/>
  <c r="A218" i="18"/>
  <c r="A219" i="18"/>
  <c r="A220" i="18"/>
  <c r="A221" i="18"/>
  <c r="A243" i="18"/>
  <c r="A244" i="18"/>
  <c r="A260" i="18"/>
  <c r="A261" i="18"/>
  <c r="A275" i="18"/>
  <c r="A276" i="18"/>
  <c r="A279" i="18"/>
  <c r="A280" i="18"/>
  <c r="A281" i="18"/>
  <c r="J201" i="18" l="1"/>
  <c r="J202" i="18"/>
  <c r="J197" i="18"/>
  <c r="J198" i="18"/>
  <c r="J199" i="18"/>
  <c r="J181" i="18"/>
  <c r="J182" i="18"/>
  <c r="J141" i="18"/>
  <c r="J138" i="18"/>
  <c r="J103" i="18"/>
  <c r="J101" i="18"/>
  <c r="J98" i="18"/>
  <c r="J96" i="18"/>
  <c r="J94" i="18"/>
  <c r="J59" i="18"/>
  <c r="J57" i="18"/>
  <c r="J56" i="18"/>
  <c r="J60" i="18"/>
  <c r="J55" i="18"/>
  <c r="J51" i="18"/>
  <c r="J29" i="18"/>
  <c r="J30" i="18"/>
  <c r="J31" i="18"/>
  <c r="A10" i="17"/>
  <c r="A12" i="17"/>
  <c r="A15" i="17"/>
  <c r="A17" i="17"/>
  <c r="A18" i="17"/>
  <c r="A23" i="17"/>
  <c r="A24" i="17"/>
  <c r="A25" i="17"/>
  <c r="A26" i="17"/>
  <c r="A27" i="17"/>
  <c r="A38" i="17"/>
  <c r="A39" i="17"/>
  <c r="A40" i="17"/>
  <c r="A47" i="17"/>
  <c r="A48" i="17"/>
  <c r="A55" i="17"/>
  <c r="A56" i="17"/>
  <c r="A63" i="17"/>
  <c r="A64" i="17"/>
  <c r="A68" i="17"/>
  <c r="A69" i="17"/>
  <c r="A70" i="17"/>
  <c r="A77" i="17"/>
  <c r="A78" i="17"/>
  <c r="A81" i="17"/>
  <c r="A82" i="17"/>
  <c r="A83" i="17"/>
  <c r="A89" i="17"/>
  <c r="A90" i="17"/>
  <c r="A94" i="17"/>
  <c r="A95" i="17"/>
  <c r="A96" i="17"/>
  <c r="A97" i="17"/>
  <c r="A98" i="17"/>
  <c r="A104" i="17"/>
  <c r="A107" i="17"/>
  <c r="A108" i="17"/>
  <c r="A112" i="17"/>
  <c r="A113" i="17"/>
  <c r="A114" i="17"/>
  <c r="A119" i="17"/>
  <c r="A124" i="17"/>
  <c r="A129" i="17"/>
  <c r="A134" i="17"/>
  <c r="A139" i="17"/>
  <c r="A144" i="17"/>
  <c r="A145" i="17"/>
  <c r="A152" i="17"/>
  <c r="A157" i="17"/>
  <c r="A162" i="17"/>
  <c r="A167" i="17"/>
  <c r="A172" i="17"/>
  <c r="A177" i="17"/>
  <c r="A179" i="17"/>
  <c r="A180" i="17"/>
  <c r="A186" i="17"/>
  <c r="A190" i="17"/>
  <c r="A191" i="17"/>
  <c r="A196" i="17"/>
  <c r="A201" i="17"/>
  <c r="A203" i="17"/>
  <c r="A204" i="17"/>
  <c r="A210" i="17"/>
  <c r="A211" i="17"/>
  <c r="A216" i="17"/>
  <c r="J147" i="17"/>
  <c r="J93" i="17"/>
  <c r="J80" i="17"/>
  <c r="F16" i="17"/>
  <c r="J72" i="17"/>
  <c r="F42" i="17"/>
  <c r="A11" i="12" l="1"/>
  <c r="A12" i="12"/>
  <c r="A13" i="12"/>
  <c r="A14" i="12"/>
  <c r="A15" i="12"/>
  <c r="A16" i="12"/>
  <c r="A17" i="12"/>
  <c r="A23" i="12"/>
  <c r="A30" i="12"/>
  <c r="A36" i="12"/>
  <c r="A42" i="12"/>
  <c r="A43" i="12"/>
  <c r="A44" i="12"/>
  <c r="A49" i="12"/>
  <c r="A50" i="12"/>
  <c r="A55" i="12"/>
  <c r="A56" i="12"/>
  <c r="A61" i="12"/>
  <c r="A62" i="12"/>
  <c r="A67" i="12"/>
  <c r="A69" i="12"/>
  <c r="A70" i="12"/>
  <c r="A71" i="12"/>
  <c r="A72" i="12"/>
  <c r="A73" i="12"/>
  <c r="A82" i="12"/>
  <c r="A83" i="12"/>
  <c r="A92" i="12"/>
  <c r="A93" i="12"/>
  <c r="A101" i="12"/>
  <c r="A102" i="12"/>
  <c r="A110" i="12"/>
  <c r="A111" i="12"/>
  <c r="A119" i="12"/>
  <c r="A120" i="12"/>
  <c r="A129" i="12"/>
  <c r="A130" i="12"/>
  <c r="A139" i="12"/>
  <c r="A140" i="12"/>
  <c r="A141" i="12"/>
  <c r="A149" i="12"/>
  <c r="A150" i="12"/>
  <c r="A158" i="12"/>
  <c r="A159" i="12"/>
  <c r="A167" i="12"/>
  <c r="A168" i="12"/>
  <c r="A176" i="12"/>
  <c r="A177" i="12"/>
  <c r="A185" i="12"/>
  <c r="A186" i="12"/>
  <c r="A194" i="12"/>
  <c r="A195" i="12"/>
  <c r="A203" i="12"/>
  <c r="A204" i="12"/>
  <c r="A205" i="12"/>
  <c r="A206" i="12"/>
  <c r="A207" i="12"/>
  <c r="A216" i="12"/>
  <c r="A217" i="12"/>
  <c r="A218" i="12"/>
  <c r="A228" i="12"/>
  <c r="A229" i="12"/>
  <c r="A230" i="12"/>
  <c r="A231" i="12"/>
  <c r="A237" i="12"/>
  <c r="A241" i="12"/>
  <c r="A242" i="12"/>
  <c r="A243" i="12"/>
  <c r="A244" i="12"/>
  <c r="A252" i="12"/>
  <c r="A253" i="12"/>
  <c r="A254" i="12"/>
  <c r="A255" i="12"/>
  <c r="A256" i="12"/>
  <c r="A257" i="12"/>
  <c r="A260" i="12"/>
  <c r="A261" i="12"/>
  <c r="A262" i="12"/>
  <c r="A267" i="12"/>
  <c r="A268" i="12"/>
  <c r="A273" i="12"/>
  <c r="A274" i="12"/>
  <c r="A279" i="12"/>
  <c r="A280" i="12"/>
  <c r="A285" i="12"/>
  <c r="A286" i="12"/>
  <c r="A291" i="12"/>
  <c r="A292" i="12"/>
  <c r="A293" i="12"/>
  <c r="A298" i="12"/>
  <c r="A299" i="12"/>
  <c r="A304" i="12"/>
  <c r="A305" i="12"/>
  <c r="A306" i="12"/>
  <c r="A311" i="12"/>
  <c r="A312" i="12"/>
  <c r="A317" i="12"/>
  <c r="A318" i="12"/>
  <c r="A319" i="12"/>
  <c r="A320" i="12"/>
  <c r="A322" i="12"/>
  <c r="A323" i="12"/>
  <c r="A324" i="12"/>
  <c r="A325" i="12"/>
  <c r="A330" i="12"/>
  <c r="A331" i="12"/>
  <c r="A332" i="12"/>
  <c r="A333" i="12"/>
  <c r="A334" i="12"/>
  <c r="A335" i="12"/>
  <c r="A337" i="12"/>
  <c r="A343" i="12"/>
  <c r="A345" i="12"/>
  <c r="A348" i="12"/>
  <c r="A351" i="12"/>
  <c r="A354" i="12"/>
  <c r="A357" i="12"/>
  <c r="A358" i="12"/>
  <c r="A359" i="12"/>
  <c r="A360" i="12"/>
  <c r="A362" i="12"/>
  <c r="A363" i="12"/>
  <c r="A364" i="12"/>
  <c r="A365" i="12"/>
  <c r="A367" i="12"/>
  <c r="A368" i="12"/>
  <c r="A369" i="12"/>
  <c r="A370" i="12"/>
  <c r="A374" i="12"/>
  <c r="A375" i="12"/>
  <c r="A376" i="12"/>
  <c r="A377" i="12"/>
  <c r="A378" i="12"/>
  <c r="A380" i="12"/>
  <c r="A381" i="12"/>
  <c r="A382" i="12"/>
  <c r="A383" i="12"/>
  <c r="A385" i="12"/>
  <c r="A386" i="12"/>
  <c r="A387" i="12"/>
  <c r="A388" i="12"/>
  <c r="A391" i="12"/>
  <c r="A392" i="12"/>
  <c r="A393" i="12"/>
  <c r="A394" i="12"/>
  <c r="A396" i="12"/>
  <c r="A397" i="12"/>
  <c r="A398" i="12"/>
  <c r="A399" i="12"/>
  <c r="A402" i="12"/>
  <c r="A403" i="12"/>
  <c r="A404" i="12"/>
  <c r="A405" i="12"/>
  <c r="A406" i="12"/>
  <c r="A409" i="12"/>
  <c r="A410" i="12"/>
  <c r="A411" i="12"/>
  <c r="A412" i="12"/>
  <c r="A423" i="12"/>
  <c r="A424" i="12"/>
  <c r="A425" i="12"/>
  <c r="A426" i="12"/>
  <c r="A427" i="12"/>
  <c r="A428" i="12"/>
  <c r="A442" i="12"/>
  <c r="A444" i="12"/>
  <c r="A446" i="12"/>
  <c r="A447" i="12"/>
  <c r="A453" i="12"/>
  <c r="A454" i="12"/>
  <c r="A455" i="12"/>
  <c r="A458" i="12"/>
  <c r="A459" i="12"/>
  <c r="A460" i="12"/>
  <c r="A462" i="12"/>
  <c r="A463" i="12"/>
  <c r="A478" i="12"/>
  <c r="A479" i="12"/>
  <c r="A480" i="12"/>
  <c r="A481" i="12"/>
  <c r="A482" i="12"/>
  <c r="A483" i="12"/>
  <c r="A484" i="12"/>
  <c r="A486" i="12"/>
  <c r="A487" i="12"/>
  <c r="A488" i="12"/>
  <c r="A489" i="12"/>
  <c r="A492" i="12"/>
  <c r="A493" i="12"/>
  <c r="A495" i="12"/>
  <c r="A496" i="12"/>
  <c r="A497" i="12"/>
  <c r="A498" i="12"/>
  <c r="A501" i="12"/>
  <c r="A502" i="12"/>
  <c r="A504" i="12"/>
  <c r="A505" i="12"/>
  <c r="A506" i="12"/>
  <c r="A507" i="12"/>
  <c r="A510" i="12"/>
  <c r="A511" i="12"/>
  <c r="A513" i="12"/>
  <c r="A514" i="12"/>
  <c r="A515" i="12"/>
  <c r="A516" i="12"/>
  <c r="A519" i="12"/>
  <c r="A520" i="12"/>
  <c r="A521" i="12"/>
  <c r="A524" i="12"/>
  <c r="A525" i="12"/>
  <c r="A526" i="12"/>
  <c r="A527" i="12"/>
  <c r="A530" i="12"/>
  <c r="A531" i="12"/>
  <c r="A533" i="12"/>
  <c r="A534" i="12"/>
  <c r="A535" i="12"/>
  <c r="A536" i="12"/>
  <c r="A539" i="12"/>
  <c r="A540" i="12"/>
  <c r="A543" i="12"/>
  <c r="A544" i="12"/>
  <c r="A545" i="12"/>
  <c r="A546" i="12"/>
  <c r="A549" i="12"/>
  <c r="A550" i="12"/>
  <c r="A553" i="12"/>
  <c r="A554" i="12"/>
  <c r="A555" i="12"/>
  <c r="A556" i="12"/>
  <c r="A559" i="12"/>
  <c r="A560" i="12"/>
  <c r="A562" i="12"/>
  <c r="A563" i="12"/>
  <c r="A564" i="12"/>
  <c r="A565" i="12"/>
  <c r="A569" i="12"/>
  <c r="A570" i="12"/>
  <c r="A572" i="12"/>
  <c r="A573" i="12"/>
  <c r="A574" i="12"/>
  <c r="A575" i="12"/>
  <c r="A579" i="12"/>
  <c r="A580" i="12"/>
  <c r="A583" i="12"/>
  <c r="A584" i="12"/>
  <c r="A585" i="12"/>
  <c r="A586" i="12"/>
  <c r="A590" i="12"/>
  <c r="A591" i="12"/>
  <c r="A593" i="12"/>
  <c r="A594" i="12"/>
  <c r="A595" i="12"/>
  <c r="A596" i="12"/>
  <c r="A602" i="12"/>
  <c r="A603" i="12"/>
  <c r="A605" i="12"/>
  <c r="A606" i="12"/>
  <c r="A607" i="12"/>
  <c r="A608" i="12"/>
  <c r="A614" i="12"/>
  <c r="A615" i="12"/>
  <c r="A617" i="12"/>
  <c r="A618" i="12"/>
  <c r="A619" i="12"/>
  <c r="A620" i="12"/>
  <c r="A626" i="12"/>
  <c r="A627" i="12"/>
  <c r="A629" i="12"/>
  <c r="A630" i="12"/>
  <c r="A631" i="12"/>
  <c r="A632" i="12"/>
  <c r="A635" i="12"/>
  <c r="A636" i="12"/>
  <c r="A638" i="12"/>
  <c r="A639" i="12"/>
  <c r="A640" i="12"/>
  <c r="A641" i="12"/>
  <c r="A644" i="12"/>
  <c r="A645" i="12"/>
  <c r="A647" i="12"/>
  <c r="A648" i="12"/>
  <c r="A649" i="12"/>
  <c r="A650" i="12"/>
  <c r="A653" i="12"/>
  <c r="A654" i="12"/>
  <c r="A655" i="12"/>
  <c r="A658" i="12"/>
  <c r="A659" i="12"/>
  <c r="A660" i="12"/>
  <c r="A661" i="12"/>
  <c r="A664" i="12"/>
  <c r="A665" i="12"/>
  <c r="A667" i="12"/>
  <c r="A668" i="12"/>
  <c r="A669" i="12"/>
  <c r="A670" i="12"/>
  <c r="A673" i="12"/>
  <c r="A674" i="12"/>
  <c r="A677" i="12"/>
  <c r="A678" i="12"/>
  <c r="A679" i="12"/>
  <c r="A680" i="12"/>
  <c r="A683" i="12"/>
  <c r="A684" i="12"/>
  <c r="A687" i="12"/>
  <c r="A688" i="12"/>
  <c r="A689" i="12"/>
  <c r="A690" i="12"/>
  <c r="A693" i="12"/>
  <c r="A694" i="12"/>
  <c r="A696" i="12"/>
  <c r="A697" i="12"/>
  <c r="A698" i="12"/>
  <c r="A699" i="12"/>
  <c r="A703" i="12"/>
  <c r="A704" i="12"/>
  <c r="A706" i="12"/>
  <c r="A707" i="12"/>
  <c r="A708" i="12"/>
  <c r="A709" i="12"/>
  <c r="A713" i="12"/>
  <c r="A714" i="12"/>
  <c r="A717" i="12"/>
  <c r="A718" i="12"/>
  <c r="A719" i="12"/>
  <c r="A720" i="12"/>
  <c r="A724" i="12"/>
  <c r="A725" i="12"/>
  <c r="A727" i="12"/>
  <c r="A728" i="12"/>
  <c r="A729" i="12"/>
  <c r="A730" i="12"/>
  <c r="A736" i="12"/>
  <c r="A737" i="12"/>
  <c r="A739" i="12"/>
  <c r="A740" i="12"/>
  <c r="A741" i="12"/>
  <c r="A742" i="12"/>
  <c r="A748" i="12"/>
  <c r="A749" i="12"/>
  <c r="A751" i="12"/>
  <c r="A752" i="12"/>
  <c r="A753" i="12"/>
  <c r="A754" i="12"/>
  <c r="A760" i="12"/>
  <c r="A761" i="12"/>
  <c r="A763" i="12"/>
  <c r="A764" i="12"/>
  <c r="A765" i="12"/>
  <c r="A766" i="12"/>
  <c r="A769" i="12"/>
  <c r="A770" i="12"/>
  <c r="A772" i="12"/>
  <c r="A773" i="12"/>
  <c r="A774" i="12"/>
  <c r="A775" i="12"/>
  <c r="A778" i="12"/>
  <c r="A779" i="12"/>
  <c r="A781" i="12"/>
  <c r="A782" i="12"/>
  <c r="A783" i="12"/>
  <c r="A784" i="12"/>
  <c r="A787" i="12"/>
  <c r="A788" i="12"/>
  <c r="A789" i="12"/>
  <c r="A791" i="12"/>
  <c r="A792" i="12"/>
  <c r="A793" i="12"/>
  <c r="A794" i="12"/>
  <c r="A797" i="12"/>
  <c r="A798" i="12"/>
  <c r="A799" i="12"/>
  <c r="A800" i="12"/>
  <c r="A805" i="12"/>
  <c r="A806" i="12"/>
  <c r="A807" i="12"/>
  <c r="A808" i="12"/>
  <c r="A810" i="12"/>
  <c r="A811" i="12"/>
  <c r="A812" i="12"/>
  <c r="A813" i="12"/>
  <c r="A819" i="12"/>
  <c r="A820" i="12"/>
  <c r="A821" i="12"/>
  <c r="A822" i="12"/>
  <c r="A824" i="12"/>
  <c r="A825" i="12"/>
  <c r="A826" i="12"/>
  <c r="A827" i="12"/>
  <c r="A829" i="12"/>
  <c r="A830" i="12"/>
  <c r="A831" i="12"/>
  <c r="A832" i="12"/>
  <c r="A834" i="12"/>
  <c r="A835" i="12"/>
  <c r="A836" i="12"/>
  <c r="A837" i="12"/>
  <c r="A839" i="12"/>
  <c r="A840" i="12"/>
  <c r="A841" i="12"/>
  <c r="A842" i="12"/>
  <c r="A844" i="12"/>
  <c r="A845" i="12"/>
  <c r="A846" i="12"/>
  <c r="A847" i="12"/>
  <c r="A849" i="12"/>
  <c r="A850" i="12"/>
  <c r="A851" i="12"/>
  <c r="A852" i="12"/>
  <c r="A854" i="12"/>
  <c r="A855" i="12"/>
  <c r="A856" i="12"/>
  <c r="A857" i="12"/>
  <c r="A861" i="12"/>
  <c r="A862" i="12"/>
  <c r="A863" i="12"/>
  <c r="A864" i="12"/>
  <c r="A865" i="12"/>
  <c r="A868" i="12"/>
  <c r="A871" i="12"/>
  <c r="A874" i="12"/>
  <c r="A876" i="12"/>
  <c r="A879" i="12"/>
  <c r="A880" i="12"/>
  <c r="A881" i="12"/>
  <c r="A882" i="12"/>
  <c r="A884" i="12"/>
  <c r="A885" i="12"/>
  <c r="A886" i="12"/>
  <c r="A887" i="12"/>
  <c r="A892" i="12"/>
  <c r="A893" i="12"/>
  <c r="A894" i="12"/>
  <c r="A895" i="12"/>
  <c r="A896" i="12"/>
  <c r="A903" i="12"/>
  <c r="A904" i="12"/>
  <c r="A905" i="12"/>
  <c r="A906" i="12"/>
  <c r="A908" i="12"/>
  <c r="A909" i="12"/>
  <c r="A910" i="12"/>
  <c r="A911" i="12"/>
  <c r="A917" i="12"/>
  <c r="A918" i="12"/>
  <c r="A919" i="12"/>
  <c r="A920" i="12"/>
  <c r="A922" i="12"/>
  <c r="A923" i="12"/>
  <c r="A924" i="12"/>
  <c r="A925" i="12"/>
  <c r="A926" i="12"/>
  <c r="A933" i="12"/>
  <c r="A934" i="12"/>
  <c r="A935" i="12"/>
  <c r="A936" i="12"/>
  <c r="A937" i="12"/>
  <c r="A938" i="12"/>
  <c r="A941" i="12"/>
  <c r="A944" i="12"/>
  <c r="A946" i="12"/>
  <c r="A950" i="12"/>
  <c r="A951" i="12"/>
  <c r="A952" i="12"/>
  <c r="A953" i="12"/>
  <c r="A954" i="12"/>
  <c r="A956" i="12"/>
  <c r="A957" i="12"/>
  <c r="A958" i="12"/>
  <c r="A959" i="12"/>
  <c r="A961" i="12"/>
  <c r="F373" i="12"/>
  <c r="F372" i="12"/>
  <c r="F371" i="12"/>
  <c r="H373" i="12"/>
  <c r="K373" i="12" s="1"/>
  <c r="F366" i="12"/>
  <c r="H366" i="12" s="1"/>
  <c r="K366" i="12" s="1"/>
  <c r="L368" i="12" s="1"/>
  <c r="E16" i="13" s="1"/>
  <c r="F400" i="12"/>
  <c r="F900" i="12"/>
  <c r="F899" i="12"/>
  <c r="H899" i="12" s="1"/>
  <c r="K899" i="12" s="1"/>
  <c r="F898" i="12"/>
  <c r="F897" i="12"/>
  <c r="H902" i="12"/>
  <c r="H901" i="12"/>
  <c r="K901" i="12" s="1"/>
  <c r="H900" i="12"/>
  <c r="K900" i="12" s="1"/>
  <c r="H898" i="12"/>
  <c r="K898" i="12" s="1"/>
  <c r="H897" i="12"/>
  <c r="K897" i="12" s="1"/>
  <c r="H955" i="12"/>
  <c r="K955" i="12" s="1"/>
  <c r="L957" i="12" s="1"/>
  <c r="E47" i="13" s="1"/>
  <c r="J225" i="12"/>
  <c r="H372" i="12" l="1"/>
  <c r="K372" i="12" s="1"/>
  <c r="K902" i="12"/>
  <c r="L904" i="12" s="1"/>
  <c r="J355" i="12"/>
  <c r="F355" i="12"/>
  <c r="H355" i="12" s="1"/>
  <c r="F350" i="12"/>
  <c r="H350" i="12" s="1"/>
  <c r="F349" i="12"/>
  <c r="H349" i="12" s="1"/>
  <c r="J349" i="12"/>
  <c r="J350" i="12"/>
  <c r="F347" i="12"/>
  <c r="F353" i="12"/>
  <c r="H353" i="12" s="1"/>
  <c r="K353" i="12" s="1"/>
  <c r="J347" i="12"/>
  <c r="F346" i="12"/>
  <c r="F352" i="12"/>
  <c r="H352" i="12" s="1"/>
  <c r="K352" i="12" s="1"/>
  <c r="J346" i="12"/>
  <c r="J344" i="12"/>
  <c r="F344" i="12"/>
  <c r="H344" i="12" s="1"/>
  <c r="J339" i="12"/>
  <c r="J340" i="12"/>
  <c r="J341" i="12"/>
  <c r="J342" i="12"/>
  <c r="J338" i="12"/>
  <c r="F336" i="12"/>
  <c r="H336" i="12" s="1"/>
  <c r="K336" i="12" s="1"/>
  <c r="F342" i="12"/>
  <c r="H342" i="12" s="1"/>
  <c r="F341" i="12"/>
  <c r="F340" i="12"/>
  <c r="H340" i="12" s="1"/>
  <c r="F339" i="12"/>
  <c r="H339" i="12" s="1"/>
  <c r="F338" i="12"/>
  <c r="H338" i="12" s="1"/>
  <c r="H356" i="12"/>
  <c r="K356" i="12" s="1"/>
  <c r="K355" i="12" l="1"/>
  <c r="K340" i="12"/>
  <c r="K350" i="12"/>
  <c r="K349" i="12"/>
  <c r="K339" i="12"/>
  <c r="H347" i="12"/>
  <c r="K347" i="12" s="1"/>
  <c r="H346" i="12"/>
  <c r="K346" i="12" s="1"/>
  <c r="K344" i="12"/>
  <c r="K342" i="12"/>
  <c r="K338" i="12"/>
  <c r="H341" i="12"/>
  <c r="K341" i="12" s="1"/>
  <c r="L358" i="12" l="1"/>
  <c r="E14" i="13" s="1"/>
  <c r="A283" i="18"/>
  <c r="A282" i="18"/>
  <c r="H278" i="18"/>
  <c r="K278" i="18" s="1"/>
  <c r="H277" i="18"/>
  <c r="K277" i="18" s="1"/>
  <c r="H274" i="18"/>
  <c r="K274" i="18" s="1"/>
  <c r="H273" i="18"/>
  <c r="K273" i="18" s="1"/>
  <c r="H272" i="18"/>
  <c r="K272" i="18" s="1"/>
  <c r="H271" i="18"/>
  <c r="K271" i="18" s="1"/>
  <c r="H270" i="18"/>
  <c r="K270" i="18" s="1"/>
  <c r="F269" i="18"/>
  <c r="F268" i="18"/>
  <c r="H267" i="18"/>
  <c r="K267" i="18" s="1"/>
  <c r="F266" i="18"/>
  <c r="H266" i="18" s="1"/>
  <c r="K266" i="18" s="1"/>
  <c r="F265" i="18"/>
  <c r="H265" i="18" s="1"/>
  <c r="K265" i="18" s="1"/>
  <c r="F264" i="18"/>
  <c r="H264" i="18" s="1"/>
  <c r="K264" i="18" s="1"/>
  <c r="H263" i="18"/>
  <c r="K263" i="18" s="1"/>
  <c r="H262" i="18"/>
  <c r="K262" i="18" s="1"/>
  <c r="H259" i="18"/>
  <c r="K259" i="18" s="1"/>
  <c r="H258" i="18"/>
  <c r="K258" i="18" s="1"/>
  <c r="H257" i="18"/>
  <c r="K257" i="18" s="1"/>
  <c r="H256" i="18"/>
  <c r="K256" i="18" s="1"/>
  <c r="H255" i="18"/>
  <c r="K255" i="18" s="1"/>
  <c r="H254" i="18"/>
  <c r="K254" i="18" s="1"/>
  <c r="H253" i="18"/>
  <c r="K253" i="18" s="1"/>
  <c r="H252" i="18"/>
  <c r="K252" i="18" s="1"/>
  <c r="H251" i="18"/>
  <c r="K251" i="18" s="1"/>
  <c r="F250" i="18"/>
  <c r="H250" i="18" s="1"/>
  <c r="K250" i="18" s="1"/>
  <c r="H249" i="18"/>
  <c r="K249" i="18" s="1"/>
  <c r="H248" i="18"/>
  <c r="K248" i="18" s="1"/>
  <c r="H247" i="18"/>
  <c r="K247" i="18" s="1"/>
  <c r="H246" i="18"/>
  <c r="K246" i="18" s="1"/>
  <c r="H245" i="18"/>
  <c r="K245" i="18" s="1"/>
  <c r="H242" i="18"/>
  <c r="K242" i="18" s="1"/>
  <c r="H241" i="18"/>
  <c r="K241" i="18" s="1"/>
  <c r="H240" i="18"/>
  <c r="K240" i="18" s="1"/>
  <c r="H239" i="18"/>
  <c r="K239" i="18" s="1"/>
  <c r="H238" i="18"/>
  <c r="K238" i="18" s="1"/>
  <c r="H237" i="18"/>
  <c r="K237" i="18" s="1"/>
  <c r="H236" i="18"/>
  <c r="K236" i="18" s="1"/>
  <c r="H235" i="18"/>
  <c r="K235" i="18" s="1"/>
  <c r="H234" i="18"/>
  <c r="K234" i="18" s="1"/>
  <c r="F234" i="18"/>
  <c r="H233" i="18"/>
  <c r="K233" i="18" s="1"/>
  <c r="H232" i="18"/>
  <c r="K232" i="18" s="1"/>
  <c r="H231" i="18"/>
  <c r="K231" i="18" s="1"/>
  <c r="H230" i="18"/>
  <c r="K230" i="18" s="1"/>
  <c r="H229" i="18"/>
  <c r="K229" i="18" s="1"/>
  <c r="H228" i="18"/>
  <c r="K228" i="18" s="1"/>
  <c r="H227" i="18"/>
  <c r="K227" i="18" s="1"/>
  <c r="H226" i="18"/>
  <c r="K226" i="18" s="1"/>
  <c r="H225" i="18"/>
  <c r="K225" i="18" s="1"/>
  <c r="H224" i="18"/>
  <c r="K224" i="18" s="1"/>
  <c r="H223" i="18"/>
  <c r="K223" i="18" s="1"/>
  <c r="H222" i="18"/>
  <c r="K222" i="18" s="1"/>
  <c r="H216" i="18"/>
  <c r="K216" i="18" s="1"/>
  <c r="H215" i="18"/>
  <c r="K215" i="18" s="1"/>
  <c r="J211" i="18"/>
  <c r="H211" i="18"/>
  <c r="H210" i="18"/>
  <c r="K210" i="18" s="1"/>
  <c r="J207" i="18"/>
  <c r="F207" i="18"/>
  <c r="F205" i="18"/>
  <c r="H205" i="18" s="1"/>
  <c r="K205" i="18" s="1"/>
  <c r="H202" i="18"/>
  <c r="K202" i="18" s="1"/>
  <c r="H201" i="18"/>
  <c r="K201" i="18" s="1"/>
  <c r="H200" i="18"/>
  <c r="K200" i="18" s="1"/>
  <c r="H199" i="18"/>
  <c r="K199" i="18" s="1"/>
  <c r="H198" i="18"/>
  <c r="K198" i="18" s="1"/>
  <c r="H197" i="18"/>
  <c r="K197" i="18" s="1"/>
  <c r="H196" i="18"/>
  <c r="K196" i="18" s="1"/>
  <c r="H195" i="18"/>
  <c r="K195" i="18" s="1"/>
  <c r="H194" i="18"/>
  <c r="K194" i="18" s="1"/>
  <c r="H193" i="18"/>
  <c r="K193" i="18" s="1"/>
  <c r="H192" i="18"/>
  <c r="K192" i="18" s="1"/>
  <c r="H191" i="18"/>
  <c r="K191" i="18" s="1"/>
  <c r="H190" i="18"/>
  <c r="K190" i="18" s="1"/>
  <c r="H189" i="18"/>
  <c r="K189" i="18" s="1"/>
  <c r="H188" i="18"/>
  <c r="K188" i="18" s="1"/>
  <c r="H187" i="18"/>
  <c r="K187" i="18" s="1"/>
  <c r="H186" i="18"/>
  <c r="K186" i="18" s="1"/>
  <c r="H185" i="18"/>
  <c r="K185" i="18" s="1"/>
  <c r="H184" i="18"/>
  <c r="K184" i="18" s="1"/>
  <c r="H183" i="18"/>
  <c r="K183" i="18" s="1"/>
  <c r="H182" i="18"/>
  <c r="K182" i="18" s="1"/>
  <c r="H181" i="18"/>
  <c r="K181" i="18" s="1"/>
  <c r="H180" i="18"/>
  <c r="K180" i="18" s="1"/>
  <c r="H179" i="18"/>
  <c r="K179" i="18" s="1"/>
  <c r="H176" i="18"/>
  <c r="K176" i="18" s="1"/>
  <c r="H173" i="18"/>
  <c r="K173" i="18" s="1"/>
  <c r="H172" i="18"/>
  <c r="K172" i="18" s="1"/>
  <c r="J169" i="18"/>
  <c r="F169" i="18"/>
  <c r="H169" i="18" s="1"/>
  <c r="J168" i="18"/>
  <c r="F168" i="18"/>
  <c r="J167" i="18"/>
  <c r="F167" i="18"/>
  <c r="H167" i="18" s="1"/>
  <c r="J166" i="18"/>
  <c r="F166" i="18"/>
  <c r="H166" i="18" s="1"/>
  <c r="F163" i="18"/>
  <c r="F162" i="18"/>
  <c r="H161" i="18"/>
  <c r="K161" i="18" s="1"/>
  <c r="H160" i="18"/>
  <c r="K160" i="18" s="1"/>
  <c r="H159" i="18"/>
  <c r="K159" i="18" s="1"/>
  <c r="F159" i="18"/>
  <c r="H152" i="18"/>
  <c r="K152" i="18" s="1"/>
  <c r="J149" i="18"/>
  <c r="J148" i="18"/>
  <c r="F148" i="18"/>
  <c r="H145" i="18"/>
  <c r="K145" i="18" s="1"/>
  <c r="H144" i="18"/>
  <c r="K144" i="18" s="1"/>
  <c r="F141" i="18"/>
  <c r="H141" i="18" s="1"/>
  <c r="K141" i="18" s="1"/>
  <c r="F138" i="18"/>
  <c r="F135" i="18"/>
  <c r="H135" i="18" s="1"/>
  <c r="K135" i="18" s="1"/>
  <c r="F134" i="18"/>
  <c r="H134" i="18" s="1"/>
  <c r="K134" i="18" s="1"/>
  <c r="H128" i="18"/>
  <c r="K128" i="18" s="1"/>
  <c r="F124" i="18"/>
  <c r="F125" i="18" s="1"/>
  <c r="H125" i="18" s="1"/>
  <c r="K125" i="18" s="1"/>
  <c r="H121" i="18"/>
  <c r="K121" i="18" s="1"/>
  <c r="H120" i="18"/>
  <c r="K120" i="18" s="1"/>
  <c r="H119" i="18"/>
  <c r="K119" i="18" s="1"/>
  <c r="J118" i="18"/>
  <c r="H118" i="18"/>
  <c r="H117" i="18"/>
  <c r="K117" i="18" s="1"/>
  <c r="H116" i="18"/>
  <c r="K116" i="18" s="1"/>
  <c r="H115" i="18"/>
  <c r="K115" i="18" s="1"/>
  <c r="H114" i="18"/>
  <c r="K114" i="18" s="1"/>
  <c r="H113" i="18"/>
  <c r="K113" i="18" s="1"/>
  <c r="H112" i="18"/>
  <c r="K112" i="18" s="1"/>
  <c r="H111" i="18"/>
  <c r="K111" i="18" s="1"/>
  <c r="H110" i="18"/>
  <c r="K110" i="18" s="1"/>
  <c r="H109" i="18"/>
  <c r="K109" i="18" s="1"/>
  <c r="H108" i="18"/>
  <c r="K108" i="18" s="1"/>
  <c r="F105" i="18"/>
  <c r="H105" i="18" s="1"/>
  <c r="K105" i="18" s="1"/>
  <c r="F103" i="18"/>
  <c r="H103" i="18" s="1"/>
  <c r="K103" i="18" s="1"/>
  <c r="H101" i="18"/>
  <c r="K101" i="18" s="1"/>
  <c r="F101" i="18"/>
  <c r="H98" i="18"/>
  <c r="K98" i="18" s="1"/>
  <c r="F98" i="18"/>
  <c r="H96" i="18"/>
  <c r="K96" i="18" s="1"/>
  <c r="H94" i="18"/>
  <c r="K94" i="18" s="1"/>
  <c r="H93" i="18"/>
  <c r="K93" i="18" s="1"/>
  <c r="H90" i="18"/>
  <c r="K90" i="18" s="1"/>
  <c r="H83" i="18"/>
  <c r="K83" i="18" s="1"/>
  <c r="F80" i="18"/>
  <c r="H80" i="18" s="1"/>
  <c r="K80" i="18" s="1"/>
  <c r="H77" i="18"/>
  <c r="K77" i="18" s="1"/>
  <c r="F76" i="18"/>
  <c r="H76" i="18" s="1"/>
  <c r="K76" i="18" s="1"/>
  <c r="H75" i="18"/>
  <c r="K75" i="18" s="1"/>
  <c r="H74" i="18"/>
  <c r="K74" i="18" s="1"/>
  <c r="H73" i="18"/>
  <c r="K73" i="18" s="1"/>
  <c r="H72" i="18"/>
  <c r="K72" i="18" s="1"/>
  <c r="H71" i="18"/>
  <c r="K71" i="18" s="1"/>
  <c r="H68" i="18"/>
  <c r="K68" i="18" s="1"/>
  <c r="H67" i="18"/>
  <c r="K67" i="18" s="1"/>
  <c r="H66" i="18"/>
  <c r="K66" i="18" s="1"/>
  <c r="H65" i="18"/>
  <c r="K65" i="18" s="1"/>
  <c r="H64" i="18"/>
  <c r="K64" i="18" s="1"/>
  <c r="H63" i="18"/>
  <c r="K63" i="18" s="1"/>
  <c r="F60" i="18"/>
  <c r="H60" i="18" s="1"/>
  <c r="K60" i="18" s="1"/>
  <c r="H59" i="18"/>
  <c r="K59" i="18" s="1"/>
  <c r="F59" i="18"/>
  <c r="F57" i="18"/>
  <c r="F56" i="18"/>
  <c r="H56" i="18" s="1"/>
  <c r="K56" i="18" s="1"/>
  <c r="F55" i="18"/>
  <c r="H55" i="18" s="1"/>
  <c r="K55" i="18" s="1"/>
  <c r="F54" i="18"/>
  <c r="H51" i="18"/>
  <c r="K51" i="18" s="1"/>
  <c r="H49" i="18"/>
  <c r="K49" i="18" s="1"/>
  <c r="F48" i="18"/>
  <c r="H47" i="18"/>
  <c r="K47" i="18" s="1"/>
  <c r="H46" i="18"/>
  <c r="K46" i="18" s="1"/>
  <c r="H45" i="18"/>
  <c r="K45" i="18" s="1"/>
  <c r="F45" i="18"/>
  <c r="F44" i="18"/>
  <c r="H44" i="18" s="1"/>
  <c r="K44" i="18" s="1"/>
  <c r="H35" i="18"/>
  <c r="K35" i="18" s="1"/>
  <c r="H34" i="18"/>
  <c r="K34" i="18" s="1"/>
  <c r="H31" i="18"/>
  <c r="K31" i="18" s="1"/>
  <c r="H30" i="18"/>
  <c r="K30" i="18" s="1"/>
  <c r="H29" i="18"/>
  <c r="K29" i="18" s="1"/>
  <c r="H28" i="18"/>
  <c r="K28" i="18" s="1"/>
  <c r="H25" i="18"/>
  <c r="K25" i="18" s="1"/>
  <c r="H24" i="18"/>
  <c r="K24" i="18" s="1"/>
  <c r="H23" i="18"/>
  <c r="K23" i="18" s="1"/>
  <c r="H22" i="18"/>
  <c r="K22" i="18" s="1"/>
  <c r="H21" i="18"/>
  <c r="K21" i="18" s="1"/>
  <c r="H20" i="18"/>
  <c r="K20" i="18" s="1"/>
  <c r="H19" i="18"/>
  <c r="K19" i="18" s="1"/>
  <c r="H18" i="18"/>
  <c r="K18" i="18" s="1"/>
  <c r="H17" i="18"/>
  <c r="K17" i="18" s="1"/>
  <c r="H16" i="18"/>
  <c r="K16" i="18" s="1"/>
  <c r="H15" i="18"/>
  <c r="K15" i="18" s="1"/>
  <c r="J12" i="18"/>
  <c r="H12" i="18"/>
  <c r="H11" i="18"/>
  <c r="K11" i="18" s="1"/>
  <c r="H10" i="18"/>
  <c r="K10" i="18" s="1"/>
  <c r="A9" i="18"/>
  <c r="A8" i="18"/>
  <c r="A7" i="18"/>
  <c r="K211" i="18" l="1"/>
  <c r="K166" i="18"/>
  <c r="H124" i="18"/>
  <c r="K124" i="18" s="1"/>
  <c r="K167" i="18"/>
  <c r="K169" i="18"/>
  <c r="K12" i="18"/>
  <c r="L37" i="18" s="1"/>
  <c r="E49" i="13" s="1"/>
  <c r="A10" i="18"/>
  <c r="F149" i="18"/>
  <c r="H148" i="18"/>
  <c r="K148" i="18" s="1"/>
  <c r="H163" i="18"/>
  <c r="K163" i="18" s="1"/>
  <c r="H269" i="18"/>
  <c r="K269" i="18" s="1"/>
  <c r="H138" i="18"/>
  <c r="K138" i="18" s="1"/>
  <c r="H162" i="18"/>
  <c r="K162" i="18" s="1"/>
  <c r="H207" i="18"/>
  <c r="K207" i="18" s="1"/>
  <c r="H268" i="18"/>
  <c r="K268" i="18" s="1"/>
  <c r="L280" i="18" s="1"/>
  <c r="H48" i="18"/>
  <c r="K48" i="18" s="1"/>
  <c r="H54" i="18"/>
  <c r="K54" i="18" s="1"/>
  <c r="H57" i="18"/>
  <c r="K57" i="18" s="1"/>
  <c r="H168" i="18"/>
  <c r="K168" i="18" s="1"/>
  <c r="K118" i="18"/>
  <c r="L218" i="18" l="1"/>
  <c r="E51" i="13" s="1"/>
  <c r="E52" i="13"/>
  <c r="A11" i="18"/>
  <c r="H149" i="18"/>
  <c r="K149" i="18" s="1"/>
  <c r="A12" i="18" l="1"/>
  <c r="A16" i="18" s="1"/>
  <c r="A15" i="18"/>
  <c r="K284" i="18"/>
  <c r="K285" i="18" s="1"/>
  <c r="K286" i="18" s="1"/>
  <c r="C5" i="18" s="1"/>
  <c r="L154" i="18"/>
  <c r="E50" i="13" s="1"/>
  <c r="A17" i="18" l="1"/>
  <c r="L284" i="18"/>
  <c r="A18" i="18" l="1"/>
  <c r="A19" i="18"/>
  <c r="F209" i="12"/>
  <c r="A20" i="18" l="1"/>
  <c r="A21" i="18" s="1"/>
  <c r="A22" i="18" s="1"/>
  <c r="A23" i="18" s="1"/>
  <c r="A24" i="18" s="1"/>
  <c r="A25" i="18" s="1"/>
  <c r="A28" i="18" s="1"/>
  <c r="A29" i="18" s="1"/>
  <c r="A30" i="18" s="1"/>
  <c r="A31" i="18" s="1"/>
  <c r="A34" i="18" s="1"/>
  <c r="A35" i="18" s="1"/>
  <c r="A44" i="18" s="1"/>
  <c r="A45" i="18" s="1"/>
  <c r="A46" i="18" s="1"/>
  <c r="A47" i="18" s="1"/>
  <c r="A48" i="18" s="1"/>
  <c r="A49" i="18" s="1"/>
  <c r="A51" i="18" s="1"/>
  <c r="A54" i="18" s="1"/>
  <c r="A55" i="18" s="1"/>
  <c r="A56" i="18" s="1"/>
  <c r="A57" i="18" s="1"/>
  <c r="A59" i="18" s="1"/>
  <c r="A60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80" i="18" s="1"/>
  <c r="A83" i="18" s="1"/>
  <c r="A90" i="18" s="1"/>
  <c r="A93" i="18" s="1"/>
  <c r="A94" i="18" s="1"/>
  <c r="A96" i="18" s="1"/>
  <c r="A98" i="18" s="1"/>
  <c r="A101" i="18" s="1"/>
  <c r="A103" i="18" s="1"/>
  <c r="A105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4" i="18" s="1"/>
  <c r="A125" i="18" s="1"/>
  <c r="A128" i="18" s="1"/>
  <c r="A134" i="18" s="1"/>
  <c r="A135" i="18" s="1"/>
  <c r="A138" i="18" s="1"/>
  <c r="A141" i="18" s="1"/>
  <c r="A144" i="18" s="1"/>
  <c r="A145" i="18" s="1"/>
  <c r="A148" i="18" s="1"/>
  <c r="A149" i="18" s="1"/>
  <c r="A152" i="18" s="1"/>
  <c r="A159" i="18" s="1"/>
  <c r="A160" i="18" s="1"/>
  <c r="A161" i="18" s="1"/>
  <c r="A162" i="18" s="1"/>
  <c r="A163" i="18" s="1"/>
  <c r="A166" i="18" s="1"/>
  <c r="A167" i="18" s="1"/>
  <c r="A168" i="18" s="1"/>
  <c r="A169" i="18" s="1"/>
  <c r="A172" i="18" s="1"/>
  <c r="A173" i="18" s="1"/>
  <c r="A176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5" i="18" s="1"/>
  <c r="A207" i="18" s="1"/>
  <c r="A210" i="18" s="1"/>
  <c r="A211" i="18" s="1"/>
  <c r="A215" i="18" s="1"/>
  <c r="A216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7" i="18" s="1"/>
  <c r="A278" i="18" s="1"/>
  <c r="A962" i="12"/>
  <c r="H848" i="12"/>
  <c r="K848" i="12" s="1"/>
  <c r="L850" i="12" s="1"/>
  <c r="E35" i="13" s="1"/>
  <c r="H916" i="12"/>
  <c r="K916" i="12" s="1"/>
  <c r="H915" i="12"/>
  <c r="K915" i="12" s="1"/>
  <c r="H914" i="12"/>
  <c r="K914" i="12" s="1"/>
  <c r="H913" i="12"/>
  <c r="K913" i="12" s="1"/>
  <c r="H912" i="12"/>
  <c r="K912" i="12" s="1"/>
  <c r="H907" i="12"/>
  <c r="K907" i="12" s="1"/>
  <c r="L909" i="12" s="1"/>
  <c r="E42" i="13" s="1"/>
  <c r="F888" i="12"/>
  <c r="F883" i="12"/>
  <c r="H883" i="12" s="1"/>
  <c r="K883" i="12" s="1"/>
  <c r="H361" i="12"/>
  <c r="K361" i="12" s="1"/>
  <c r="L363" i="12" s="1"/>
  <c r="E15" i="13" s="1"/>
  <c r="F949" i="12"/>
  <c r="H949" i="12" s="1"/>
  <c r="K949" i="12" s="1"/>
  <c r="L918" i="12" l="1"/>
  <c r="E43" i="13" s="1"/>
  <c r="L885" i="12"/>
  <c r="E39" i="13" s="1"/>
  <c r="H921" i="12" l="1"/>
  <c r="K921" i="12" s="1"/>
  <c r="L923" i="12" s="1"/>
  <c r="E44" i="13" s="1"/>
  <c r="J940" i="12"/>
  <c r="F889" i="12"/>
  <c r="H422" i="12"/>
  <c r="K422" i="12" s="1"/>
  <c r="H421" i="12"/>
  <c r="K421" i="12" s="1"/>
  <c r="F420" i="12"/>
  <c r="H420" i="12" s="1"/>
  <c r="K420" i="12" s="1"/>
  <c r="H371" i="12"/>
  <c r="J578" i="12"/>
  <c r="J589" i="12"/>
  <c r="J702" i="12"/>
  <c r="J712" i="12"/>
  <c r="J723" i="12"/>
  <c r="J786" i="12"/>
  <c r="J796" i="12"/>
  <c r="J612" i="12"/>
  <c r="J624" i="12"/>
  <c r="J734" i="12"/>
  <c r="J746" i="12"/>
  <c r="J758" i="12"/>
  <c r="J610" i="12"/>
  <c r="J622" i="12"/>
  <c r="J732" i="12"/>
  <c r="J744" i="12"/>
  <c r="J756" i="12"/>
  <c r="J613" i="12"/>
  <c r="J625" i="12"/>
  <c r="J735" i="12"/>
  <c r="J747" i="12"/>
  <c r="J759" i="12"/>
  <c r="J567" i="12"/>
  <c r="J577" i="12"/>
  <c r="J588" i="12"/>
  <c r="J599" i="12"/>
  <c r="J611" i="12"/>
  <c r="J623" i="12"/>
  <c r="J634" i="12"/>
  <c r="J692" i="12"/>
  <c r="J701" i="12"/>
  <c r="J711" i="12"/>
  <c r="J722" i="12"/>
  <c r="J733" i="12"/>
  <c r="J745" i="12"/>
  <c r="J757" i="12"/>
  <c r="J768" i="12"/>
  <c r="J643" i="12"/>
  <c r="J777" i="12"/>
  <c r="A963" i="12"/>
  <c r="H960" i="12"/>
  <c r="K960" i="12" s="1"/>
  <c r="J726" i="12"/>
  <c r="J716" i="12"/>
  <c r="J561" i="12"/>
  <c r="J571" i="12"/>
  <c r="J581" i="12"/>
  <c r="J604" i="12"/>
  <c r="J616" i="12"/>
  <c r="J628" i="12"/>
  <c r="J646" i="12"/>
  <c r="J695" i="12"/>
  <c r="J705" i="12"/>
  <c r="J715" i="12"/>
  <c r="J738" i="12"/>
  <c r="J750" i="12"/>
  <c r="J762" i="12"/>
  <c r="J780" i="12"/>
  <c r="J790" i="12"/>
  <c r="J532" i="12"/>
  <c r="J542" i="12"/>
  <c r="J552" i="12"/>
  <c r="J657" i="12"/>
  <c r="J666" i="12"/>
  <c r="J676" i="12"/>
  <c r="J686" i="12"/>
  <c r="J682" i="12"/>
  <c r="J529" i="12"/>
  <c r="J538" i="12"/>
  <c r="J663" i="12"/>
  <c r="J672" i="12"/>
  <c r="J499" i="12"/>
  <c r="J508" i="12"/>
  <c r="J517" i="12"/>
  <c r="J528" i="12"/>
  <c r="J537" i="12"/>
  <c r="J547" i="12"/>
  <c r="J557" i="12"/>
  <c r="J566" i="12"/>
  <c r="J576" i="12"/>
  <c r="J587" i="12"/>
  <c r="J597" i="12"/>
  <c r="J609" i="12"/>
  <c r="J621" i="12"/>
  <c r="J633" i="12"/>
  <c r="J642" i="12"/>
  <c r="J651" i="12"/>
  <c r="J662" i="12"/>
  <c r="J671" i="12"/>
  <c r="J681" i="12"/>
  <c r="J691" i="12"/>
  <c r="J700" i="12"/>
  <c r="J710" i="12"/>
  <c r="J721" i="12"/>
  <c r="J731" i="12"/>
  <c r="J743" i="12"/>
  <c r="J755" i="12"/>
  <c r="J767" i="12"/>
  <c r="J776" i="12"/>
  <c r="J785" i="12"/>
  <c r="J795" i="12"/>
  <c r="J494" i="12"/>
  <c r="J503" i="12"/>
  <c r="J522" i="12"/>
  <c r="J541" i="12"/>
  <c r="J551" i="12"/>
  <c r="J637" i="12"/>
  <c r="J656" i="12"/>
  <c r="J675" i="12"/>
  <c r="J685" i="12"/>
  <c r="J771" i="12"/>
  <c r="J457" i="12"/>
  <c r="J456" i="12"/>
  <c r="J448" i="12"/>
  <c r="J449" i="12"/>
  <c r="J450" i="12"/>
  <c r="J451" i="12"/>
  <c r="J452" i="12"/>
  <c r="F443" i="12"/>
  <c r="H443" i="12" s="1"/>
  <c r="F395" i="12"/>
  <c r="J329" i="12"/>
  <c r="J276" i="12"/>
  <c r="J288" i="12"/>
  <c r="J295" i="12"/>
  <c r="J301" i="12"/>
  <c r="J308" i="12"/>
  <c r="J314" i="12"/>
  <c r="J272" i="12"/>
  <c r="J278" i="12"/>
  <c r="J284" i="12"/>
  <c r="J290" i="12"/>
  <c r="J297" i="12"/>
  <c r="J303" i="12"/>
  <c r="J310" i="12"/>
  <c r="J316" i="12"/>
  <c r="J265" i="12"/>
  <c r="J271" i="12"/>
  <c r="J277" i="12"/>
  <c r="J283" i="12"/>
  <c r="J289" i="12"/>
  <c r="J296" i="12"/>
  <c r="J302" i="12"/>
  <c r="J309" i="12"/>
  <c r="J315" i="12"/>
  <c r="J282" i="12"/>
  <c r="J281" i="12"/>
  <c r="K371" i="12" l="1"/>
  <c r="L375" i="12" s="1"/>
  <c r="E17" i="13" s="1"/>
  <c r="L962" i="12"/>
  <c r="E48" i="13" s="1"/>
  <c r="J263" i="12"/>
  <c r="J294" i="12"/>
  <c r="J300" i="12"/>
  <c r="J307" i="12"/>
  <c r="J313" i="12"/>
  <c r="J287" i="12"/>
  <c r="F259" i="12"/>
  <c r="H259" i="12" s="1"/>
  <c r="F258" i="12"/>
  <c r="H258" i="12" s="1"/>
  <c r="K258" i="12" s="1"/>
  <c r="A35" i="15"/>
  <c r="A36" i="15"/>
  <c r="A37" i="15"/>
  <c r="A56" i="15"/>
  <c r="A57" i="15"/>
  <c r="A58" i="15"/>
  <c r="A63" i="15"/>
  <c r="A65" i="15"/>
  <c r="A66" i="15"/>
  <c r="K259" i="12" l="1"/>
  <c r="H64" i="15" l="1"/>
  <c r="G64" i="15"/>
  <c r="A19" i="14"/>
  <c r="A20" i="14"/>
  <c r="A21" i="14"/>
  <c r="A28" i="14"/>
  <c r="A29" i="14"/>
  <c r="A30" i="14"/>
  <c r="A38" i="14"/>
  <c r="A39" i="14"/>
  <c r="A40" i="14"/>
  <c r="A44" i="14"/>
  <c r="A45" i="14"/>
  <c r="A46" i="14"/>
  <c r="A50" i="14"/>
  <c r="A51" i="14"/>
  <c r="A52" i="14"/>
  <c r="A56" i="14"/>
  <c r="A57" i="14"/>
  <c r="A58" i="14"/>
  <c r="A66" i="14"/>
  <c r="A67" i="14"/>
  <c r="A68" i="14"/>
  <c r="A75" i="14"/>
  <c r="A76" i="14"/>
  <c r="A77" i="14"/>
  <c r="A85" i="14"/>
  <c r="A86" i="14"/>
  <c r="A87" i="14"/>
  <c r="A91" i="14"/>
  <c r="A92" i="14"/>
  <c r="A93" i="14"/>
  <c r="A101" i="14"/>
  <c r="A102" i="14"/>
  <c r="A103" i="14"/>
  <c r="A107" i="14"/>
  <c r="A108" i="14"/>
  <c r="A109" i="14"/>
  <c r="A113" i="14"/>
  <c r="A114" i="14"/>
  <c r="A115" i="14"/>
  <c r="A120" i="14"/>
  <c r="A121" i="14"/>
  <c r="A122" i="14"/>
  <c r="A129" i="14"/>
  <c r="A130" i="14"/>
  <c r="A131" i="14"/>
  <c r="A134" i="14"/>
  <c r="A135" i="14"/>
  <c r="A136" i="14"/>
  <c r="A145" i="14"/>
  <c r="A146" i="14"/>
  <c r="A147" i="14"/>
  <c r="A161" i="14"/>
  <c r="A163" i="14"/>
  <c r="A164" i="14"/>
  <c r="E62" i="14"/>
  <c r="F62" i="14"/>
  <c r="E118" i="14"/>
  <c r="F118" i="14"/>
  <c r="E126" i="14"/>
  <c r="F126" i="14"/>
  <c r="E138" i="14"/>
  <c r="F138" i="14"/>
  <c r="E74" i="14"/>
  <c r="F74" i="14"/>
  <c r="E73" i="14"/>
  <c r="F73" i="14"/>
  <c r="E37" i="14"/>
  <c r="F37" i="14"/>
  <c r="E72" i="14"/>
  <c r="F72" i="14"/>
  <c r="E84" i="14"/>
  <c r="F84" i="14"/>
  <c r="E100" i="14"/>
  <c r="F100" i="14"/>
  <c r="E65" i="14"/>
  <c r="F65" i="14"/>
  <c r="E144" i="14"/>
  <c r="F144" i="14"/>
  <c r="E64" i="14"/>
  <c r="F64" i="14"/>
  <c r="E143" i="14"/>
  <c r="F143" i="14"/>
  <c r="E63" i="14"/>
  <c r="F63" i="14"/>
  <c r="E119" i="14"/>
  <c r="F119" i="14"/>
  <c r="E60" i="14"/>
  <c r="F60" i="14"/>
  <c r="E98" i="14"/>
  <c r="F98" i="14"/>
  <c r="E117" i="14"/>
  <c r="F117" i="14"/>
  <c r="E55" i="14"/>
  <c r="F55" i="14"/>
  <c r="E106" i="14"/>
  <c r="F106" i="14"/>
  <c r="E112" i="14"/>
  <c r="F112" i="14"/>
  <c r="E54" i="14"/>
  <c r="F54" i="14"/>
  <c r="E105" i="14"/>
  <c r="F105" i="14"/>
  <c r="E111" i="14"/>
  <c r="F111" i="14"/>
  <c r="E139" i="14"/>
  <c r="F139" i="14"/>
  <c r="F137" i="14"/>
  <c r="E137" i="14"/>
  <c r="F128" i="14"/>
  <c r="E128" i="14"/>
  <c r="F125" i="14"/>
  <c r="E125" i="14"/>
  <c r="E53" i="14"/>
  <c r="F53" i="14"/>
  <c r="E104" i="14"/>
  <c r="F104" i="14"/>
  <c r="E110" i="14"/>
  <c r="F110" i="14"/>
  <c r="E34" i="14"/>
  <c r="F34" i="14"/>
  <c r="E70" i="14"/>
  <c r="F70" i="14"/>
  <c r="E81" i="14"/>
  <c r="F81" i="14"/>
  <c r="E42" i="14"/>
  <c r="F42" i="14"/>
  <c r="E80" i="14"/>
  <c r="F80" i="14"/>
  <c r="E89" i="14"/>
  <c r="F89" i="14"/>
  <c r="E22" i="14"/>
  <c r="F22" i="14"/>
  <c r="E24" i="14"/>
  <c r="F24" i="14"/>
  <c r="E32" i="14"/>
  <c r="F32" i="14"/>
  <c r="E36" i="14"/>
  <c r="F36" i="14"/>
  <c r="E59" i="14"/>
  <c r="F59" i="14"/>
  <c r="E69" i="14"/>
  <c r="F69" i="14"/>
  <c r="E71" i="14"/>
  <c r="F71" i="14"/>
  <c r="E79" i="14"/>
  <c r="F79" i="14"/>
  <c r="E83" i="14"/>
  <c r="F83" i="14"/>
  <c r="E94" i="14"/>
  <c r="F94" i="14"/>
  <c r="E97" i="14"/>
  <c r="F97" i="14"/>
  <c r="E116" i="14"/>
  <c r="F116" i="14"/>
  <c r="E123" i="14"/>
  <c r="F123" i="14"/>
  <c r="E31" i="14"/>
  <c r="F31" i="14"/>
  <c r="E35" i="14"/>
  <c r="F35" i="14"/>
  <c r="E41" i="14"/>
  <c r="F41" i="14"/>
  <c r="E43" i="14"/>
  <c r="F43" i="14"/>
  <c r="E78" i="14"/>
  <c r="F78" i="14"/>
  <c r="E82" i="14"/>
  <c r="F82" i="14"/>
  <c r="E88" i="14"/>
  <c r="F88" i="14"/>
  <c r="E90" i="14"/>
  <c r="F90" i="14"/>
  <c r="I64" i="15" l="1"/>
  <c r="H251" i="12" l="1"/>
  <c r="K251" i="12" s="1"/>
  <c r="J250" i="12"/>
  <c r="F250" i="12"/>
  <c r="J249" i="12"/>
  <c r="F249" i="12"/>
  <c r="H249" i="12" s="1"/>
  <c r="J248" i="12"/>
  <c r="F248" i="12"/>
  <c r="H248" i="12" s="1"/>
  <c r="J247" i="12"/>
  <c r="F246" i="12"/>
  <c r="H246" i="12" s="1"/>
  <c r="K246" i="12" s="1"/>
  <c r="J245" i="12"/>
  <c r="F245" i="12"/>
  <c r="F247" i="12" s="1"/>
  <c r="J240" i="12"/>
  <c r="H239" i="12"/>
  <c r="K239" i="12" s="1"/>
  <c r="J238" i="12"/>
  <c r="F238" i="12"/>
  <c r="H238" i="12" s="1"/>
  <c r="F236" i="12"/>
  <c r="H236" i="12" s="1"/>
  <c r="K236" i="12" s="1"/>
  <c r="F235" i="12"/>
  <c r="F234" i="12"/>
  <c r="H234" i="12" s="1"/>
  <c r="K234" i="12" s="1"/>
  <c r="F233" i="12"/>
  <c r="H232" i="12"/>
  <c r="D232" i="12" s="1"/>
  <c r="H227" i="12"/>
  <c r="K227" i="12" s="1"/>
  <c r="J226" i="12"/>
  <c r="F226" i="12"/>
  <c r="F225" i="12"/>
  <c r="H224" i="12"/>
  <c r="K224" i="12" s="1"/>
  <c r="F223" i="12"/>
  <c r="H223" i="12" s="1"/>
  <c r="K223" i="12" s="1"/>
  <c r="J222" i="12"/>
  <c r="F222" i="12"/>
  <c r="J221" i="12"/>
  <c r="F221" i="12"/>
  <c r="H221" i="12" s="1"/>
  <c r="J220" i="12"/>
  <c r="F220" i="12"/>
  <c r="H220" i="12" s="1"/>
  <c r="J219" i="12"/>
  <c r="F219" i="12"/>
  <c r="H219" i="12" s="1"/>
  <c r="F215" i="12"/>
  <c r="H215" i="12" s="1"/>
  <c r="K215" i="12" s="1"/>
  <c r="H214" i="12"/>
  <c r="K214" i="12" s="1"/>
  <c r="F213" i="12"/>
  <c r="H213" i="12" s="1"/>
  <c r="K213" i="12" s="1"/>
  <c r="F212" i="12"/>
  <c r="H212" i="12" s="1"/>
  <c r="K212" i="12" s="1"/>
  <c r="F211" i="12"/>
  <c r="H211" i="12" s="1"/>
  <c r="K211" i="12" s="1"/>
  <c r="J210" i="12"/>
  <c r="F210" i="12"/>
  <c r="H210" i="12" s="1"/>
  <c r="J209" i="12"/>
  <c r="J208" i="12"/>
  <c r="F208" i="12"/>
  <c r="H208" i="12" s="1"/>
  <c r="J202" i="12"/>
  <c r="F202" i="12"/>
  <c r="H202" i="12" s="1"/>
  <c r="J201" i="12"/>
  <c r="F201" i="12"/>
  <c r="H201" i="12" s="1"/>
  <c r="J200" i="12"/>
  <c r="F200" i="12"/>
  <c r="J199" i="12"/>
  <c r="J198" i="12"/>
  <c r="F198" i="12"/>
  <c r="J197" i="12"/>
  <c r="F197" i="12"/>
  <c r="H197" i="12" s="1"/>
  <c r="J196" i="12"/>
  <c r="F196" i="12"/>
  <c r="H196" i="12" s="1"/>
  <c r="J193" i="12"/>
  <c r="F193" i="12"/>
  <c r="J192" i="12"/>
  <c r="F192" i="12"/>
  <c r="H192" i="12" s="1"/>
  <c r="J191" i="12"/>
  <c r="F191" i="12"/>
  <c r="H191" i="12" s="1"/>
  <c r="J190" i="12"/>
  <c r="J189" i="12"/>
  <c r="F189" i="12"/>
  <c r="J188" i="12"/>
  <c r="F188" i="12"/>
  <c r="H188" i="12" s="1"/>
  <c r="J187" i="12"/>
  <c r="F187" i="12"/>
  <c r="H187" i="12" s="1"/>
  <c r="J184" i="12"/>
  <c r="F184" i="12"/>
  <c r="H184" i="12" s="1"/>
  <c r="J183" i="12"/>
  <c r="F183" i="12"/>
  <c r="H183" i="12" s="1"/>
  <c r="J182" i="12"/>
  <c r="F182" i="12"/>
  <c r="H182" i="12" s="1"/>
  <c r="J181" i="12"/>
  <c r="J180" i="12"/>
  <c r="F180" i="12"/>
  <c r="J179" i="12"/>
  <c r="F179" i="12"/>
  <c r="J178" i="12"/>
  <c r="F178" i="12"/>
  <c r="H178" i="12" s="1"/>
  <c r="J175" i="12"/>
  <c r="F175" i="12"/>
  <c r="H175" i="12" s="1"/>
  <c r="J174" i="12"/>
  <c r="F174" i="12"/>
  <c r="J173" i="12"/>
  <c r="F173" i="12"/>
  <c r="J172" i="12"/>
  <c r="J171" i="12"/>
  <c r="F171" i="12"/>
  <c r="J170" i="12"/>
  <c r="F170" i="12"/>
  <c r="H170" i="12" s="1"/>
  <c r="J169" i="12"/>
  <c r="F169" i="12"/>
  <c r="H169" i="12" s="1"/>
  <c r="J166" i="12"/>
  <c r="F166" i="12"/>
  <c r="H166" i="12" s="1"/>
  <c r="J165" i="12"/>
  <c r="F165" i="12"/>
  <c r="H165" i="12" s="1"/>
  <c r="J164" i="12"/>
  <c r="F164" i="12"/>
  <c r="J163" i="12"/>
  <c r="J162" i="12"/>
  <c r="F162" i="12"/>
  <c r="J161" i="12"/>
  <c r="F161" i="12"/>
  <c r="H161" i="12" s="1"/>
  <c r="J160" i="12"/>
  <c r="F160" i="12"/>
  <c r="H160" i="12" s="1"/>
  <c r="J157" i="12"/>
  <c r="F157" i="12"/>
  <c r="J156" i="12"/>
  <c r="F156" i="12"/>
  <c r="J155" i="12"/>
  <c r="F155" i="12"/>
  <c r="H155" i="12" s="1"/>
  <c r="J154" i="12"/>
  <c r="J153" i="12"/>
  <c r="F153" i="12"/>
  <c r="J152" i="12"/>
  <c r="F152" i="12"/>
  <c r="H152" i="12" s="1"/>
  <c r="J151" i="12"/>
  <c r="F151" i="12"/>
  <c r="H151" i="12" s="1"/>
  <c r="J148" i="12"/>
  <c r="F148" i="12"/>
  <c r="J147" i="12"/>
  <c r="F147" i="12"/>
  <c r="H147" i="12" s="1"/>
  <c r="J146" i="12"/>
  <c r="F146" i="12"/>
  <c r="H146" i="12" s="1"/>
  <c r="J145" i="12"/>
  <c r="J144" i="12"/>
  <c r="F144" i="12"/>
  <c r="J143" i="12"/>
  <c r="F143" i="12"/>
  <c r="H143" i="12" s="1"/>
  <c r="J142" i="12"/>
  <c r="F142" i="12"/>
  <c r="H142" i="12" s="1"/>
  <c r="J138" i="12"/>
  <c r="F138" i="12"/>
  <c r="H138" i="12" s="1"/>
  <c r="J137" i="12"/>
  <c r="F137" i="12"/>
  <c r="J136" i="12"/>
  <c r="F136" i="12"/>
  <c r="H136" i="12" s="1"/>
  <c r="J135" i="12"/>
  <c r="F135" i="12"/>
  <c r="H135" i="12" s="1"/>
  <c r="J134" i="12"/>
  <c r="J133" i="12"/>
  <c r="F133" i="12"/>
  <c r="H133" i="12" s="1"/>
  <c r="J132" i="12"/>
  <c r="F132" i="12"/>
  <c r="H132" i="12" s="1"/>
  <c r="J131" i="12"/>
  <c r="F131" i="12"/>
  <c r="J128" i="12"/>
  <c r="F128" i="12"/>
  <c r="H128" i="12" s="1"/>
  <c r="J127" i="12"/>
  <c r="F127" i="12"/>
  <c r="J126" i="12"/>
  <c r="F126" i="12"/>
  <c r="J125" i="12"/>
  <c r="F125" i="12"/>
  <c r="H125" i="12" s="1"/>
  <c r="J124" i="12"/>
  <c r="J123" i="12"/>
  <c r="F123" i="12"/>
  <c r="H123" i="12" s="1"/>
  <c r="J122" i="12"/>
  <c r="F122" i="12"/>
  <c r="H122" i="12" s="1"/>
  <c r="J121" i="12"/>
  <c r="F121" i="12"/>
  <c r="H121" i="12" s="1"/>
  <c r="J118" i="12"/>
  <c r="F118" i="12"/>
  <c r="H118" i="12" s="1"/>
  <c r="J117" i="12"/>
  <c r="F117" i="12"/>
  <c r="H117" i="12" s="1"/>
  <c r="J116" i="12"/>
  <c r="F116" i="12"/>
  <c r="J115" i="12"/>
  <c r="J114" i="12"/>
  <c r="F114" i="12"/>
  <c r="J113" i="12"/>
  <c r="F113" i="12"/>
  <c r="H113" i="12" s="1"/>
  <c r="J112" i="12"/>
  <c r="F112" i="12"/>
  <c r="J109" i="12"/>
  <c r="F109" i="12"/>
  <c r="J108" i="12"/>
  <c r="F108" i="12"/>
  <c r="H108" i="12" s="1"/>
  <c r="J107" i="12"/>
  <c r="F107" i="12"/>
  <c r="H107" i="12" s="1"/>
  <c r="J106" i="12"/>
  <c r="J105" i="12"/>
  <c r="F105" i="12"/>
  <c r="H105" i="12" s="1"/>
  <c r="J104" i="12"/>
  <c r="F104" i="12"/>
  <c r="H104" i="12" s="1"/>
  <c r="J103" i="12"/>
  <c r="F103" i="12"/>
  <c r="H103" i="12" s="1"/>
  <c r="J100" i="12"/>
  <c r="F100" i="12"/>
  <c r="H100" i="12" s="1"/>
  <c r="J99" i="12"/>
  <c r="F99" i="12"/>
  <c r="H99" i="12" s="1"/>
  <c r="J98" i="12"/>
  <c r="F98" i="12"/>
  <c r="H98" i="12" s="1"/>
  <c r="J97" i="12"/>
  <c r="J96" i="12"/>
  <c r="F96" i="12"/>
  <c r="J95" i="12"/>
  <c r="F95" i="12"/>
  <c r="H95" i="12" s="1"/>
  <c r="J94" i="12"/>
  <c r="F94" i="12"/>
  <c r="H94" i="12" s="1"/>
  <c r="J91" i="12"/>
  <c r="F91" i="12"/>
  <c r="H91" i="12" s="1"/>
  <c r="J90" i="12"/>
  <c r="F90" i="12"/>
  <c r="H90" i="12" s="1"/>
  <c r="J89" i="12"/>
  <c r="F89" i="12"/>
  <c r="J88" i="12"/>
  <c r="F88" i="12"/>
  <c r="J87" i="12"/>
  <c r="J86" i="12"/>
  <c r="F86" i="12"/>
  <c r="J85" i="12"/>
  <c r="F85" i="12"/>
  <c r="J84" i="12"/>
  <c r="F84" i="12"/>
  <c r="J81" i="12"/>
  <c r="F81" i="12"/>
  <c r="J80" i="12"/>
  <c r="F80" i="12"/>
  <c r="J79" i="12"/>
  <c r="F79" i="12"/>
  <c r="H79" i="12" s="1"/>
  <c r="J78" i="12"/>
  <c r="F78" i="12"/>
  <c r="H78" i="12" s="1"/>
  <c r="J77" i="12"/>
  <c r="J76" i="12"/>
  <c r="F76" i="12"/>
  <c r="H76" i="12" s="1"/>
  <c r="F75" i="12"/>
  <c r="J74" i="12"/>
  <c r="F74" i="12"/>
  <c r="H74" i="12" s="1"/>
  <c r="H68" i="12"/>
  <c r="K68" i="12" s="1"/>
  <c r="J66" i="12"/>
  <c r="F66" i="12"/>
  <c r="H66" i="12" s="1"/>
  <c r="J65" i="12"/>
  <c r="F65" i="12"/>
  <c r="H65" i="12" s="1"/>
  <c r="J64" i="12"/>
  <c r="F64" i="12"/>
  <c r="H64" i="12" s="1"/>
  <c r="J63" i="12"/>
  <c r="F63" i="12"/>
  <c r="H63" i="12" s="1"/>
  <c r="J60" i="12"/>
  <c r="F60" i="12"/>
  <c r="H60" i="12" s="1"/>
  <c r="J59" i="12"/>
  <c r="F59" i="12"/>
  <c r="H59" i="12" s="1"/>
  <c r="J58" i="12"/>
  <c r="F58" i="12"/>
  <c r="H58" i="12" s="1"/>
  <c r="J57" i="12"/>
  <c r="F57" i="12"/>
  <c r="H57" i="12" s="1"/>
  <c r="J54" i="12"/>
  <c r="F54" i="12"/>
  <c r="J53" i="12"/>
  <c r="F53" i="12"/>
  <c r="H53" i="12" s="1"/>
  <c r="J52" i="12"/>
  <c r="F52" i="12"/>
  <c r="H52" i="12" s="1"/>
  <c r="J51" i="12"/>
  <c r="F51" i="12"/>
  <c r="J48" i="12"/>
  <c r="F48" i="12"/>
  <c r="H48" i="12" s="1"/>
  <c r="J47" i="12"/>
  <c r="F47" i="12"/>
  <c r="H47" i="12" s="1"/>
  <c r="F46" i="12"/>
  <c r="H46" i="12" s="1"/>
  <c r="K46" i="12" s="1"/>
  <c r="J45" i="12"/>
  <c r="F45" i="12"/>
  <c r="J41" i="12"/>
  <c r="F41" i="12"/>
  <c r="J40" i="12"/>
  <c r="J39" i="12"/>
  <c r="F39" i="12"/>
  <c r="J38" i="12"/>
  <c r="F38" i="12"/>
  <c r="J37" i="12"/>
  <c r="F37" i="12"/>
  <c r="J35" i="12"/>
  <c r="F35" i="12"/>
  <c r="H35" i="12" s="1"/>
  <c r="J34" i="12"/>
  <c r="J33" i="12"/>
  <c r="F33" i="12"/>
  <c r="J32" i="12"/>
  <c r="F32" i="12"/>
  <c r="J31" i="12"/>
  <c r="F31" i="12"/>
  <c r="J29" i="12"/>
  <c r="F29" i="12"/>
  <c r="J28" i="12"/>
  <c r="J27" i="12"/>
  <c r="F27" i="12"/>
  <c r="F26" i="12"/>
  <c r="J25" i="12"/>
  <c r="F25" i="12"/>
  <c r="J24" i="12"/>
  <c r="F24" i="12"/>
  <c r="F22" i="12"/>
  <c r="F20" i="12"/>
  <c r="F19" i="12"/>
  <c r="F18" i="12"/>
  <c r="A219" i="17"/>
  <c r="A218" i="17"/>
  <c r="A217" i="17"/>
  <c r="J215" i="17"/>
  <c r="F214" i="17"/>
  <c r="J213" i="17"/>
  <c r="F213" i="17"/>
  <c r="H213" i="17" s="1"/>
  <c r="H212" i="17"/>
  <c r="K212" i="17" s="1"/>
  <c r="J209" i="17"/>
  <c r="J208" i="17"/>
  <c r="F208" i="17"/>
  <c r="J207" i="17"/>
  <c r="F207" i="17"/>
  <c r="H207" i="17" s="1"/>
  <c r="F206" i="17"/>
  <c r="H206" i="17" s="1"/>
  <c r="K206" i="17" s="1"/>
  <c r="H205" i="17"/>
  <c r="K205" i="17" s="1"/>
  <c r="H202" i="17"/>
  <c r="K202" i="17" s="1"/>
  <c r="J200" i="17"/>
  <c r="J199" i="17"/>
  <c r="F199" i="17"/>
  <c r="J198" i="17"/>
  <c r="F198" i="17"/>
  <c r="H198" i="17" s="1"/>
  <c r="H197" i="17"/>
  <c r="K197" i="17" s="1"/>
  <c r="J195" i="17"/>
  <c r="J194" i="17"/>
  <c r="F194" i="17"/>
  <c r="H194" i="17" s="1"/>
  <c r="J193" i="17"/>
  <c r="F193" i="17"/>
  <c r="H192" i="17"/>
  <c r="K192" i="17" s="1"/>
  <c r="H189" i="17"/>
  <c r="K189" i="17" s="1"/>
  <c r="H188" i="17"/>
  <c r="K188" i="17" s="1"/>
  <c r="H187" i="17"/>
  <c r="K187" i="17" s="1"/>
  <c r="J185" i="17"/>
  <c r="J184" i="17"/>
  <c r="F184" i="17"/>
  <c r="H184" i="17" s="1"/>
  <c r="F183" i="17"/>
  <c r="H183" i="17" s="1"/>
  <c r="K183" i="17" s="1"/>
  <c r="J182" i="17"/>
  <c r="F182" i="17"/>
  <c r="H182" i="17" s="1"/>
  <c r="H181" i="17"/>
  <c r="K181" i="17" s="1"/>
  <c r="H178" i="17"/>
  <c r="K178" i="17" s="1"/>
  <c r="J176" i="17"/>
  <c r="J175" i="17"/>
  <c r="F175" i="17"/>
  <c r="H175" i="17" s="1"/>
  <c r="J174" i="17"/>
  <c r="F174" i="17"/>
  <c r="H173" i="17"/>
  <c r="K173" i="17" s="1"/>
  <c r="J171" i="17"/>
  <c r="J170" i="17"/>
  <c r="F170" i="17"/>
  <c r="J169" i="17"/>
  <c r="F169" i="17"/>
  <c r="H169" i="17" s="1"/>
  <c r="H168" i="17"/>
  <c r="K168" i="17" s="1"/>
  <c r="J166" i="17"/>
  <c r="J165" i="17"/>
  <c r="H165" i="17"/>
  <c r="F165" i="17"/>
  <c r="J164" i="17"/>
  <c r="F164" i="17"/>
  <c r="H163" i="17"/>
  <c r="K163" i="17" s="1"/>
  <c r="J161" i="17"/>
  <c r="J160" i="17"/>
  <c r="F160" i="17"/>
  <c r="H160" i="17" s="1"/>
  <c r="J159" i="17"/>
  <c r="F159" i="17"/>
  <c r="F161" i="17" s="1"/>
  <c r="H161" i="17" s="1"/>
  <c r="H158" i="17"/>
  <c r="K158" i="17" s="1"/>
  <c r="J156" i="17"/>
  <c r="J155" i="17"/>
  <c r="F155" i="17"/>
  <c r="H155" i="17" s="1"/>
  <c r="J154" i="17"/>
  <c r="H154" i="17"/>
  <c r="F154" i="17"/>
  <c r="F156" i="17" s="1"/>
  <c r="H153" i="17"/>
  <c r="K153" i="17" s="1"/>
  <c r="J151" i="17"/>
  <c r="J150" i="17"/>
  <c r="F150" i="17"/>
  <c r="J149" i="17"/>
  <c r="H149" i="17"/>
  <c r="F149" i="17"/>
  <c r="H148" i="17"/>
  <c r="K148" i="17" s="1"/>
  <c r="H147" i="17"/>
  <c r="K147" i="17" s="1"/>
  <c r="H146" i="17"/>
  <c r="K146" i="17" s="1"/>
  <c r="J143" i="17"/>
  <c r="J142" i="17"/>
  <c r="F142" i="17"/>
  <c r="H142" i="17" s="1"/>
  <c r="J141" i="17"/>
  <c r="F141" i="17"/>
  <c r="H140" i="17"/>
  <c r="K140" i="17" s="1"/>
  <c r="J138" i="17"/>
  <c r="J137" i="17"/>
  <c r="F137" i="17"/>
  <c r="H137" i="17" s="1"/>
  <c r="J136" i="17"/>
  <c r="F136" i="17"/>
  <c r="H135" i="17"/>
  <c r="K135" i="17" s="1"/>
  <c r="J133" i="17"/>
  <c r="J132" i="17"/>
  <c r="F132" i="17"/>
  <c r="H132" i="17" s="1"/>
  <c r="J131" i="17"/>
  <c r="F131" i="17"/>
  <c r="H131" i="17" s="1"/>
  <c r="H130" i="17"/>
  <c r="K130" i="17" s="1"/>
  <c r="J128" i="17"/>
  <c r="J127" i="17"/>
  <c r="F127" i="17"/>
  <c r="H127" i="17" s="1"/>
  <c r="J126" i="17"/>
  <c r="F126" i="17"/>
  <c r="H126" i="17" s="1"/>
  <c r="H125" i="17"/>
  <c r="K125" i="17" s="1"/>
  <c r="J123" i="17"/>
  <c r="J122" i="17"/>
  <c r="F122" i="17"/>
  <c r="J121" i="17"/>
  <c r="F121" i="17"/>
  <c r="H121" i="17" s="1"/>
  <c r="J120" i="17"/>
  <c r="H120" i="17"/>
  <c r="J118" i="17"/>
  <c r="J117" i="17"/>
  <c r="F117" i="17"/>
  <c r="J116" i="17"/>
  <c r="F116" i="17"/>
  <c r="H116" i="17" s="1"/>
  <c r="H115" i="17"/>
  <c r="K115" i="17" s="1"/>
  <c r="H111" i="17"/>
  <c r="K111" i="17" s="1"/>
  <c r="F110" i="17"/>
  <c r="H110" i="17" s="1"/>
  <c r="K110" i="17" s="1"/>
  <c r="H109" i="17"/>
  <c r="K109" i="17" s="1"/>
  <c r="H106" i="17"/>
  <c r="K106" i="17" s="1"/>
  <c r="H105" i="17"/>
  <c r="K105" i="17" s="1"/>
  <c r="H103" i="17"/>
  <c r="K103" i="17" s="1"/>
  <c r="J102" i="17"/>
  <c r="J101" i="17"/>
  <c r="F101" i="17"/>
  <c r="J100" i="17"/>
  <c r="F100" i="17"/>
  <c r="H100" i="17" s="1"/>
  <c r="J99" i="17"/>
  <c r="F99" i="17"/>
  <c r="H99" i="17" s="1"/>
  <c r="H93" i="17"/>
  <c r="H92" i="17"/>
  <c r="K92" i="17" s="1"/>
  <c r="J91" i="17"/>
  <c r="F91" i="17"/>
  <c r="H88" i="17"/>
  <c r="K88" i="17" s="1"/>
  <c r="F86" i="17"/>
  <c r="H86" i="17" s="1"/>
  <c r="K86" i="17" s="1"/>
  <c r="F85" i="17"/>
  <c r="F84" i="17"/>
  <c r="F87" i="17" s="1"/>
  <c r="H80" i="17"/>
  <c r="K80" i="17" s="1"/>
  <c r="H79" i="17"/>
  <c r="K79" i="17" s="1"/>
  <c r="H76" i="17"/>
  <c r="K76" i="17" s="1"/>
  <c r="H75" i="17"/>
  <c r="K75" i="17" s="1"/>
  <c r="H74" i="17"/>
  <c r="K74" i="17" s="1"/>
  <c r="H73" i="17"/>
  <c r="K73" i="17" s="1"/>
  <c r="F72" i="17"/>
  <c r="H72" i="17" s="1"/>
  <c r="K72" i="17" s="1"/>
  <c r="H71" i="17"/>
  <c r="K71" i="17" s="1"/>
  <c r="J67" i="17"/>
  <c r="F67" i="17"/>
  <c r="H67" i="17" s="1"/>
  <c r="F66" i="17"/>
  <c r="H66" i="17" s="1"/>
  <c r="K66" i="17" s="1"/>
  <c r="H65" i="17"/>
  <c r="K65" i="17" s="1"/>
  <c r="J62" i="17"/>
  <c r="F62" i="17"/>
  <c r="J61" i="17"/>
  <c r="F61" i="17"/>
  <c r="H61" i="17" s="1"/>
  <c r="H60" i="17"/>
  <c r="K60" i="17" s="1"/>
  <c r="J59" i="17"/>
  <c r="F59" i="17"/>
  <c r="H59" i="17" s="1"/>
  <c r="J58" i="17"/>
  <c r="F58" i="17"/>
  <c r="H58" i="17" s="1"/>
  <c r="H57" i="17"/>
  <c r="D57" i="17" s="1"/>
  <c r="J54" i="17"/>
  <c r="F54" i="17"/>
  <c r="H54" i="17" s="1"/>
  <c r="J53" i="17"/>
  <c r="F53" i="17"/>
  <c r="H53" i="17" s="1"/>
  <c r="H52" i="17"/>
  <c r="K52" i="17" s="1"/>
  <c r="J51" i="17"/>
  <c r="F51" i="17"/>
  <c r="H51" i="17" s="1"/>
  <c r="J50" i="17"/>
  <c r="F50" i="17"/>
  <c r="H50" i="17" s="1"/>
  <c r="H49" i="17"/>
  <c r="F46" i="17"/>
  <c r="H46" i="17" s="1"/>
  <c r="K46" i="17" s="1"/>
  <c r="F45" i="17"/>
  <c r="H45" i="17" s="1"/>
  <c r="K45" i="17" s="1"/>
  <c r="H44" i="17"/>
  <c r="K44" i="17" s="1"/>
  <c r="F43" i="17"/>
  <c r="H43" i="17" s="1"/>
  <c r="K43" i="17" s="1"/>
  <c r="H41" i="17"/>
  <c r="D41" i="17" s="1"/>
  <c r="H37" i="17"/>
  <c r="K37" i="17" s="1"/>
  <c r="H36" i="17"/>
  <c r="K36" i="17" s="1"/>
  <c r="H35" i="17"/>
  <c r="K35" i="17" s="1"/>
  <c r="H34" i="17"/>
  <c r="K34" i="17" s="1"/>
  <c r="H33" i="17"/>
  <c r="K33" i="17" s="1"/>
  <c r="H32" i="17"/>
  <c r="K32" i="17" s="1"/>
  <c r="H31" i="17"/>
  <c r="K31" i="17" s="1"/>
  <c r="H30" i="17"/>
  <c r="K30" i="17" s="1"/>
  <c r="H29" i="17"/>
  <c r="K29" i="17" s="1"/>
  <c r="H28" i="17"/>
  <c r="K28" i="17" s="1"/>
  <c r="H22" i="17"/>
  <c r="K22" i="17" s="1"/>
  <c r="H21" i="17"/>
  <c r="K21" i="17" s="1"/>
  <c r="H20" i="17"/>
  <c r="K20" i="17" s="1"/>
  <c r="H19" i="17"/>
  <c r="K19" i="17" s="1"/>
  <c r="H16" i="17"/>
  <c r="K16" i="17" s="1"/>
  <c r="H14" i="17"/>
  <c r="K14" i="17" s="1"/>
  <c r="H13" i="17"/>
  <c r="K13" i="17" s="1"/>
  <c r="H11" i="17"/>
  <c r="K11" i="17" s="1"/>
  <c r="H9" i="17"/>
  <c r="K9" i="17" s="1"/>
  <c r="A9" i="17"/>
  <c r="L24" i="17" l="1"/>
  <c r="E53" i="13" s="1"/>
  <c r="K99" i="17"/>
  <c r="K127" i="17"/>
  <c r="A11" i="17"/>
  <c r="A13" i="17" s="1"/>
  <c r="F138" i="17"/>
  <c r="H84" i="17"/>
  <c r="K84" i="17" s="1"/>
  <c r="F102" i="17"/>
  <c r="H102" i="17" s="1"/>
  <c r="F176" i="17"/>
  <c r="H176" i="17" s="1"/>
  <c r="K176" i="17" s="1"/>
  <c r="H20" i="12"/>
  <c r="K20" i="12" s="1"/>
  <c r="H31" i="12"/>
  <c r="H22" i="12"/>
  <c r="K22" i="12" s="1"/>
  <c r="H18" i="12"/>
  <c r="K18" i="12" s="1"/>
  <c r="H24" i="12"/>
  <c r="K24" i="12" s="1"/>
  <c r="H26" i="12"/>
  <c r="K26" i="12" s="1"/>
  <c r="H32" i="12"/>
  <c r="K32" i="12" s="1"/>
  <c r="H25" i="12"/>
  <c r="K25" i="12" s="1"/>
  <c r="H33" i="12"/>
  <c r="K33" i="12" s="1"/>
  <c r="H19" i="12"/>
  <c r="K19" i="12" s="1"/>
  <c r="H101" i="17"/>
  <c r="K101" i="17" s="1"/>
  <c r="H159" i="17"/>
  <c r="K159" i="17" s="1"/>
  <c r="H174" i="17"/>
  <c r="K174" i="17" s="1"/>
  <c r="K93" i="17"/>
  <c r="H136" i="17"/>
  <c r="K136" i="17" s="1"/>
  <c r="F143" i="17"/>
  <c r="H143" i="17" s="1"/>
  <c r="K143" i="17" s="1"/>
  <c r="H141" i="17"/>
  <c r="K141" i="17" s="1"/>
  <c r="K120" i="17"/>
  <c r="K194" i="17"/>
  <c r="K53" i="17"/>
  <c r="K57" i="17"/>
  <c r="K59" i="17"/>
  <c r="K102" i="17"/>
  <c r="K131" i="17"/>
  <c r="K149" i="17"/>
  <c r="K155" i="17"/>
  <c r="K207" i="17"/>
  <c r="K213" i="17"/>
  <c r="K58" i="17"/>
  <c r="K126" i="17"/>
  <c r="K142" i="17"/>
  <c r="K165" i="17"/>
  <c r="K41" i="17"/>
  <c r="K54" i="17"/>
  <c r="K61" i="17"/>
  <c r="K116" i="17"/>
  <c r="K160" i="17"/>
  <c r="F185" i="17"/>
  <c r="H185" i="17" s="1"/>
  <c r="K185" i="17" s="1"/>
  <c r="F215" i="17"/>
  <c r="H215" i="17" s="1"/>
  <c r="K215" i="17" s="1"/>
  <c r="K51" i="17"/>
  <c r="K67" i="17"/>
  <c r="K132" i="17"/>
  <c r="K154" i="17"/>
  <c r="K169" i="17"/>
  <c r="K175" i="17"/>
  <c r="K50" i="17"/>
  <c r="K121" i="17"/>
  <c r="K137" i="17"/>
  <c r="K161" i="17"/>
  <c r="K182" i="17"/>
  <c r="K184" i="17"/>
  <c r="K198" i="17"/>
  <c r="K170" i="12"/>
  <c r="K160" i="12"/>
  <c r="F199" i="12"/>
  <c r="H199" i="12" s="1"/>
  <c r="K199" i="12" s="1"/>
  <c r="K59" i="12"/>
  <c r="K197" i="12"/>
  <c r="H198" i="12"/>
  <c r="K198" i="12" s="1"/>
  <c r="K53" i="12"/>
  <c r="K161" i="12"/>
  <c r="K91" i="12"/>
  <c r="K31" i="12"/>
  <c r="K142" i="12"/>
  <c r="F145" i="12"/>
  <c r="H145" i="12" s="1"/>
  <c r="K145" i="12" s="1"/>
  <c r="K103" i="12"/>
  <c r="K210" i="12"/>
  <c r="K220" i="12"/>
  <c r="K52" i="12"/>
  <c r="K78" i="12"/>
  <c r="K90" i="12"/>
  <c r="K232" i="12"/>
  <c r="K47" i="12"/>
  <c r="K136" i="12"/>
  <c r="K146" i="12"/>
  <c r="F163" i="12"/>
  <c r="H163" i="12" s="1"/>
  <c r="K163" i="12" s="1"/>
  <c r="K184" i="12"/>
  <c r="K191" i="12"/>
  <c r="K196" i="12"/>
  <c r="K219" i="12"/>
  <c r="K95" i="12"/>
  <c r="K99" i="12"/>
  <c r="K123" i="12"/>
  <c r="K128" i="12"/>
  <c r="K48" i="12"/>
  <c r="K63" i="12"/>
  <c r="K165" i="12"/>
  <c r="K118" i="12"/>
  <c r="F21" i="12"/>
  <c r="K35" i="12"/>
  <c r="K64" i="12"/>
  <c r="K74" i="12"/>
  <c r="K104" i="12"/>
  <c r="F124" i="12"/>
  <c r="H124" i="12" s="1"/>
  <c r="K124" i="12" s="1"/>
  <c r="K125" i="12"/>
  <c r="H162" i="12"/>
  <c r="K162" i="12" s="1"/>
  <c r="K175" i="12"/>
  <c r="K188" i="12"/>
  <c r="K108" i="12"/>
  <c r="K121" i="12"/>
  <c r="K183" i="12"/>
  <c r="K208" i="12"/>
  <c r="K65" i="12"/>
  <c r="K57" i="12"/>
  <c r="K60" i="12"/>
  <c r="K79" i="12"/>
  <c r="K100" i="12"/>
  <c r="K107" i="12"/>
  <c r="K113" i="12"/>
  <c r="K152" i="12"/>
  <c r="K221" i="12"/>
  <c r="F97" i="12"/>
  <c r="H96" i="12"/>
  <c r="K96" i="12" s="1"/>
  <c r="H200" i="12"/>
  <c r="K200" i="12" s="1"/>
  <c r="H247" i="12"/>
  <c r="K247" i="12" s="1"/>
  <c r="H37" i="12"/>
  <c r="K37" i="12" s="1"/>
  <c r="H38" i="12"/>
  <c r="K38" i="12" s="1"/>
  <c r="F40" i="12"/>
  <c r="H39" i="12"/>
  <c r="K39" i="12" s="1"/>
  <c r="H41" i="12"/>
  <c r="K41" i="12" s="1"/>
  <c r="H51" i="12"/>
  <c r="K51" i="12" s="1"/>
  <c r="K58" i="12"/>
  <c r="K66" i="12"/>
  <c r="H75" i="12"/>
  <c r="K75" i="12" s="1"/>
  <c r="K76" i="12"/>
  <c r="H80" i="12"/>
  <c r="K80" i="12" s="1"/>
  <c r="H81" i="12"/>
  <c r="K81" i="12" s="1"/>
  <c r="H84" i="12"/>
  <c r="K84" i="12" s="1"/>
  <c r="H85" i="12"/>
  <c r="K85" i="12" s="1"/>
  <c r="F87" i="12"/>
  <c r="H86" i="12"/>
  <c r="K86" i="12" s="1"/>
  <c r="H88" i="12"/>
  <c r="K88" i="12" s="1"/>
  <c r="H89" i="12"/>
  <c r="K89" i="12" s="1"/>
  <c r="K94" i="12"/>
  <c r="K98" i="12"/>
  <c r="K105" i="12"/>
  <c r="H109" i="12"/>
  <c r="K109" i="12" s="1"/>
  <c r="K122" i="12"/>
  <c r="H127" i="12"/>
  <c r="K127" i="12" s="1"/>
  <c r="H131" i="12"/>
  <c r="K131" i="12" s="1"/>
  <c r="K133" i="12"/>
  <c r="K138" i="12"/>
  <c r="H148" i="12"/>
  <c r="K148" i="12" s="1"/>
  <c r="K151" i="12"/>
  <c r="H157" i="12"/>
  <c r="K157" i="12" s="1"/>
  <c r="H164" i="12"/>
  <c r="K164" i="12" s="1"/>
  <c r="H174" i="12"/>
  <c r="K174" i="12" s="1"/>
  <c r="K187" i="12"/>
  <c r="H209" i="12"/>
  <c r="K209" i="12" s="1"/>
  <c r="H225" i="12"/>
  <c r="K225" i="12" s="1"/>
  <c r="H235" i="12"/>
  <c r="K235" i="12" s="1"/>
  <c r="H54" i="12"/>
  <c r="K54" i="12" s="1"/>
  <c r="H126" i="12"/>
  <c r="K126" i="12" s="1"/>
  <c r="K132" i="12"/>
  <c r="F134" i="12"/>
  <c r="H137" i="12"/>
  <c r="K137" i="12" s="1"/>
  <c r="K143" i="12"/>
  <c r="K169" i="12"/>
  <c r="K178" i="12"/>
  <c r="H193" i="12"/>
  <c r="K193" i="12" s="1"/>
  <c r="K202" i="12"/>
  <c r="H233" i="12"/>
  <c r="K233" i="12" s="1"/>
  <c r="K249" i="12"/>
  <c r="F28" i="12"/>
  <c r="H27" i="12"/>
  <c r="K27" i="12" s="1"/>
  <c r="H29" i="12"/>
  <c r="K29" i="12" s="1"/>
  <c r="F34" i="12"/>
  <c r="H45" i="12"/>
  <c r="K45" i="12" s="1"/>
  <c r="F77" i="12"/>
  <c r="F106" i="12"/>
  <c r="H112" i="12"/>
  <c r="K112" i="12" s="1"/>
  <c r="F115" i="12"/>
  <c r="H114" i="12"/>
  <c r="K114" i="12" s="1"/>
  <c r="H116" i="12"/>
  <c r="K116" i="12" s="1"/>
  <c r="K117" i="12"/>
  <c r="K135" i="12"/>
  <c r="H144" i="12"/>
  <c r="K144" i="12" s="1"/>
  <c r="H156" i="12"/>
  <c r="K156" i="12" s="1"/>
  <c r="K166" i="12"/>
  <c r="H173" i="12"/>
  <c r="K173" i="12" s="1"/>
  <c r="K201" i="12"/>
  <c r="H222" i="12"/>
  <c r="K222" i="12" s="1"/>
  <c r="K238" i="12"/>
  <c r="K248" i="12"/>
  <c r="F181" i="12"/>
  <c r="H180" i="12"/>
  <c r="K180" i="12" s="1"/>
  <c r="K182" i="12"/>
  <c r="F190" i="12"/>
  <c r="K147" i="12"/>
  <c r="F154" i="12"/>
  <c r="H153" i="12"/>
  <c r="K153" i="12" s="1"/>
  <c r="K155" i="12"/>
  <c r="F172" i="12"/>
  <c r="H179" i="12"/>
  <c r="K179" i="12" s="1"/>
  <c r="H189" i="12"/>
  <c r="K189" i="12" s="1"/>
  <c r="K192" i="12"/>
  <c r="H226" i="12"/>
  <c r="K226" i="12" s="1"/>
  <c r="H245" i="12"/>
  <c r="K245" i="12" s="1"/>
  <c r="H250" i="12"/>
  <c r="K250" i="12" s="1"/>
  <c r="F240" i="12"/>
  <c r="H171" i="12"/>
  <c r="K171" i="12" s="1"/>
  <c r="F123" i="17"/>
  <c r="H170" i="17"/>
  <c r="K170" i="17" s="1"/>
  <c r="H42" i="17"/>
  <c r="K42" i="17" s="1"/>
  <c r="H62" i="17"/>
  <c r="K62" i="17" s="1"/>
  <c r="H87" i="17"/>
  <c r="K87" i="17" s="1"/>
  <c r="H91" i="17"/>
  <c r="K91" i="17" s="1"/>
  <c r="H122" i="17"/>
  <c r="K122" i="17" s="1"/>
  <c r="F128" i="17"/>
  <c r="H150" i="17"/>
  <c r="K150" i="17" s="1"/>
  <c r="F195" i="17"/>
  <c r="H193" i="17"/>
  <c r="K193" i="17" s="1"/>
  <c r="H214" i="17"/>
  <c r="K214" i="17" s="1"/>
  <c r="F118" i="17"/>
  <c r="H138" i="17"/>
  <c r="K138" i="17" s="1"/>
  <c r="H199" i="17"/>
  <c r="K199" i="17" s="1"/>
  <c r="H208" i="17"/>
  <c r="K208" i="17" s="1"/>
  <c r="D49" i="17"/>
  <c r="K49" i="17" s="1"/>
  <c r="H85" i="17"/>
  <c r="K85" i="17" s="1"/>
  <c r="K100" i="17"/>
  <c r="H117" i="17"/>
  <c r="K117" i="17" s="1"/>
  <c r="F133" i="17"/>
  <c r="H156" i="17"/>
  <c r="K156" i="17" s="1"/>
  <c r="F166" i="17"/>
  <c r="H164" i="17"/>
  <c r="K164" i="17" s="1"/>
  <c r="F151" i="17"/>
  <c r="F171" i="17"/>
  <c r="F200" i="17"/>
  <c r="F209" i="17"/>
  <c r="A14" i="17" l="1"/>
  <c r="A16" i="17"/>
  <c r="A19" i="17" s="1"/>
  <c r="H21" i="12"/>
  <c r="K21" i="12" s="1"/>
  <c r="L253" i="12"/>
  <c r="E10" i="13" s="1"/>
  <c r="L229" i="12"/>
  <c r="E8" i="13" s="1"/>
  <c r="H115" i="12"/>
  <c r="K115" i="12" s="1"/>
  <c r="H87" i="12"/>
  <c r="K87" i="12" s="1"/>
  <c r="H106" i="12"/>
  <c r="K106" i="12" s="1"/>
  <c r="H40" i="12"/>
  <c r="K40" i="12" s="1"/>
  <c r="H172" i="12"/>
  <c r="K172" i="12" s="1"/>
  <c r="H34" i="12"/>
  <c r="K34" i="12" s="1"/>
  <c r="H97" i="12"/>
  <c r="K97" i="12" s="1"/>
  <c r="H28" i="12"/>
  <c r="K28" i="12" s="1"/>
  <c r="H134" i="12"/>
  <c r="K134" i="12" s="1"/>
  <c r="H240" i="12"/>
  <c r="K240" i="12" s="1"/>
  <c r="L242" i="12" s="1"/>
  <c r="E9" i="13" s="1"/>
  <c r="H154" i="12"/>
  <c r="K154" i="12" s="1"/>
  <c r="H190" i="12"/>
  <c r="K190" i="12" s="1"/>
  <c r="H181" i="12"/>
  <c r="K181" i="12" s="1"/>
  <c r="H77" i="12"/>
  <c r="K77" i="12" s="1"/>
  <c r="H171" i="17"/>
  <c r="K171" i="17" s="1"/>
  <c r="H128" i="17"/>
  <c r="K128" i="17" s="1"/>
  <c r="H123" i="17"/>
  <c r="K123" i="17" s="1"/>
  <c r="H151" i="17"/>
  <c r="K151" i="17" s="1"/>
  <c r="H133" i="17"/>
  <c r="K133" i="17" s="1"/>
  <c r="H118" i="17"/>
  <c r="K118" i="17" s="1"/>
  <c r="H209" i="17"/>
  <c r="K209" i="17" s="1"/>
  <c r="H166" i="17"/>
  <c r="K166" i="17" s="1"/>
  <c r="H200" i="17"/>
  <c r="K200" i="17" s="1"/>
  <c r="H195" i="17"/>
  <c r="K195" i="17" s="1"/>
  <c r="A20" i="17" l="1"/>
  <c r="A21" i="17"/>
  <c r="L217" i="17"/>
  <c r="A22" i="17"/>
  <c r="A28" i="17" s="1"/>
  <c r="K220" i="17"/>
  <c r="K221" i="17" s="1"/>
  <c r="K222" i="17" s="1"/>
  <c r="C5" i="17" s="1"/>
  <c r="L204" i="12"/>
  <c r="E7" i="13" s="1"/>
  <c r="L70" i="12"/>
  <c r="E6" i="13" s="1"/>
  <c r="A29" i="17" l="1"/>
  <c r="A30" i="17" s="1"/>
  <c r="A31" i="17" s="1"/>
  <c r="A32" i="17" s="1"/>
  <c r="A33" i="17" s="1"/>
  <c r="L220" i="17"/>
  <c r="E54" i="13"/>
  <c r="H379" i="12"/>
  <c r="A68" i="15"/>
  <c r="A67" i="15"/>
  <c r="A34" i="17" l="1"/>
  <c r="A35" i="17" s="1"/>
  <c r="A36" i="17" s="1"/>
  <c r="A37" i="17" s="1"/>
  <c r="A41" i="17" s="1"/>
  <c r="A42" i="17" s="1"/>
  <c r="A43" i="17" s="1"/>
  <c r="A44" i="17" s="1"/>
  <c r="A45" i="17" s="1"/>
  <c r="A46" i="17" s="1"/>
  <c r="A49" i="17" s="1"/>
  <c r="A50" i="17" s="1"/>
  <c r="A51" i="17" s="1"/>
  <c r="A52" i="17" s="1"/>
  <c r="A53" i="17" s="1"/>
  <c r="A54" i="17" s="1"/>
  <c r="A57" i="17" s="1"/>
  <c r="A58" i="17" s="1"/>
  <c r="A59" i="17" s="1"/>
  <c r="A60" i="17" s="1"/>
  <c r="A61" i="17" s="1"/>
  <c r="A62" i="17" s="1"/>
  <c r="A65" i="17" s="1"/>
  <c r="A66" i="17" s="1"/>
  <c r="A67" i="17" s="1"/>
  <c r="A71" i="17" s="1"/>
  <c r="A72" i="17" s="1"/>
  <c r="A73" i="17" s="1"/>
  <c r="A74" i="17" s="1"/>
  <c r="A75" i="17" s="1"/>
  <c r="A76" i="17" s="1"/>
  <c r="A79" i="17" s="1"/>
  <c r="A80" i="17" s="1"/>
  <c r="A84" i="17" s="1"/>
  <c r="A85" i="17" s="1"/>
  <c r="A86" i="17" s="1"/>
  <c r="A87" i="17" s="1"/>
  <c r="A88" i="17" s="1"/>
  <c r="A91" i="17" s="1"/>
  <c r="A92" i="17" s="1"/>
  <c r="A93" i="17" s="1"/>
  <c r="A99" i="17" s="1"/>
  <c r="A100" i="17" s="1"/>
  <c r="A101" i="17" s="1"/>
  <c r="A102" i="17" s="1"/>
  <c r="A103" i="17" s="1"/>
  <c r="A105" i="17" s="1"/>
  <c r="A106" i="17" s="1"/>
  <c r="A109" i="17" s="1"/>
  <c r="A110" i="17" s="1"/>
  <c r="A111" i="17" s="1"/>
  <c r="A115" i="17" s="1"/>
  <c r="A116" i="17" s="1"/>
  <c r="A117" i="17" s="1"/>
  <c r="A118" i="17" s="1"/>
  <c r="A120" i="17" s="1"/>
  <c r="A121" i="17" s="1"/>
  <c r="A122" i="17" s="1"/>
  <c r="A123" i="17" s="1"/>
  <c r="A125" i="17" s="1"/>
  <c r="A126" i="17" s="1"/>
  <c r="A127" i="17" s="1"/>
  <c r="A128" i="17" s="1"/>
  <c r="A130" i="17" s="1"/>
  <c r="A131" i="17" s="1"/>
  <c r="A132" i="17" s="1"/>
  <c r="A133" i="17" s="1"/>
  <c r="A135" i="17" s="1"/>
  <c r="A136" i="17" s="1"/>
  <c r="A137" i="17" s="1"/>
  <c r="A138" i="17" s="1"/>
  <c r="A140" i="17" s="1"/>
  <c r="A141" i="17" s="1"/>
  <c r="A142" i="17" s="1"/>
  <c r="A143" i="17" s="1"/>
  <c r="A146" i="17" s="1"/>
  <c r="A147" i="17" s="1"/>
  <c r="A148" i="17" s="1"/>
  <c r="A149" i="17" s="1"/>
  <c r="A150" i="17" s="1"/>
  <c r="A151" i="17" s="1"/>
  <c r="A153" i="17" s="1"/>
  <c r="A154" i="17" s="1"/>
  <c r="A155" i="17" s="1"/>
  <c r="A156" i="17" s="1"/>
  <c r="A158" i="17" s="1"/>
  <c r="A159" i="17" s="1"/>
  <c r="A160" i="17" s="1"/>
  <c r="A161" i="17" s="1"/>
  <c r="A163" i="17" s="1"/>
  <c r="A164" i="17" s="1"/>
  <c r="A165" i="17" s="1"/>
  <c r="A166" i="17" s="1"/>
  <c r="A168" i="17" s="1"/>
  <c r="A169" i="17" s="1"/>
  <c r="A170" i="17" s="1"/>
  <c r="A171" i="17" s="1"/>
  <c r="A173" i="17" s="1"/>
  <c r="A174" i="17" s="1"/>
  <c r="A175" i="17" s="1"/>
  <c r="A176" i="17" s="1"/>
  <c r="A178" i="17" s="1"/>
  <c r="A181" i="17" s="1"/>
  <c r="A182" i="17" s="1"/>
  <c r="A183" i="17" s="1"/>
  <c r="A184" i="17" s="1"/>
  <c r="A185" i="17" s="1"/>
  <c r="A187" i="17" s="1"/>
  <c r="A188" i="17" s="1"/>
  <c r="A189" i="17" s="1"/>
  <c r="A192" i="17" s="1"/>
  <c r="A193" i="17" s="1"/>
  <c r="A194" i="17" s="1"/>
  <c r="A195" i="17" s="1"/>
  <c r="A197" i="17" s="1"/>
  <c r="A198" i="17" s="1"/>
  <c r="A199" i="17" s="1"/>
  <c r="A200" i="17" s="1"/>
  <c r="A202" i="17" s="1"/>
  <c r="A205" i="17" s="1"/>
  <c r="A206" i="17" s="1"/>
  <c r="A207" i="17" s="1"/>
  <c r="A208" i="17" s="1"/>
  <c r="A209" i="17" s="1"/>
  <c r="A212" i="17" s="1"/>
  <c r="A213" i="17" s="1"/>
  <c r="A214" i="17" s="1"/>
  <c r="A215" i="17" s="1"/>
  <c r="H833" i="12"/>
  <c r="K833" i="12" s="1"/>
  <c r="F817" i="12"/>
  <c r="H817" i="12" s="1"/>
  <c r="K817" i="12" s="1"/>
  <c r="F816" i="12"/>
  <c r="H816" i="12" s="1"/>
  <c r="K816" i="12" s="1"/>
  <c r="H815" i="12"/>
  <c r="K815" i="12" s="1"/>
  <c r="H814" i="12"/>
  <c r="K814" i="12" s="1"/>
  <c r="H823" i="12"/>
  <c r="K823" i="12" s="1"/>
  <c r="L825" i="12" s="1"/>
  <c r="E30" i="13" s="1"/>
  <c r="H828" i="12"/>
  <c r="K828" i="12" s="1"/>
  <c r="L830" i="12" s="1"/>
  <c r="E31" i="13" s="1"/>
  <c r="H390" i="12"/>
  <c r="K390" i="12" s="1"/>
  <c r="F389" i="12"/>
  <c r="H389" i="12" s="1"/>
  <c r="K389" i="12" s="1"/>
  <c r="H878" i="12"/>
  <c r="K878" i="12" s="1"/>
  <c r="H877" i="12"/>
  <c r="K877" i="12" s="1"/>
  <c r="H395" i="12"/>
  <c r="K395" i="12" s="1"/>
  <c r="H875" i="12"/>
  <c r="K875" i="12" s="1"/>
  <c r="H873" i="12"/>
  <c r="K873" i="12" s="1"/>
  <c r="F872" i="12"/>
  <c r="H872" i="12" s="1"/>
  <c r="K872" i="12" s="1"/>
  <c r="H870" i="12"/>
  <c r="K870" i="12" s="1"/>
  <c r="H869" i="12"/>
  <c r="K869" i="12" s="1"/>
  <c r="H867" i="12"/>
  <c r="K867" i="12" s="1"/>
  <c r="H866" i="12"/>
  <c r="K866" i="12" s="1"/>
  <c r="F860" i="12"/>
  <c r="H860" i="12" s="1"/>
  <c r="F859" i="12"/>
  <c r="H858" i="12"/>
  <c r="H818" i="12"/>
  <c r="K818" i="12" s="1"/>
  <c r="H853" i="12"/>
  <c r="K853" i="12" s="1"/>
  <c r="H843" i="12"/>
  <c r="K843" i="12" s="1"/>
  <c r="L845" i="12" s="1"/>
  <c r="E34" i="13" s="1"/>
  <c r="H838" i="12"/>
  <c r="K838" i="12" s="1"/>
  <c r="H477" i="12"/>
  <c r="H476" i="12"/>
  <c r="H475" i="12"/>
  <c r="H474" i="12"/>
  <c r="H473" i="12"/>
  <c r="H472" i="12"/>
  <c r="F471" i="12"/>
  <c r="H470" i="12"/>
  <c r="H469" i="12"/>
  <c r="F468" i="12"/>
  <c r="H468" i="12" s="1"/>
  <c r="F467" i="12"/>
  <c r="H467" i="12" s="1"/>
  <c r="H466" i="12"/>
  <c r="H465" i="12"/>
  <c r="H464" i="12"/>
  <c r="F457" i="12"/>
  <c r="H457" i="12" s="1"/>
  <c r="K457" i="12" s="1"/>
  <c r="F456" i="12"/>
  <c r="H456" i="12" s="1"/>
  <c r="K456" i="12" s="1"/>
  <c r="H461" i="12"/>
  <c r="K461" i="12" s="1"/>
  <c r="F452" i="12"/>
  <c r="H452" i="12" s="1"/>
  <c r="K452" i="12" s="1"/>
  <c r="F451" i="12"/>
  <c r="H451" i="12" s="1"/>
  <c r="K451" i="12" s="1"/>
  <c r="F450" i="12"/>
  <c r="H450" i="12" s="1"/>
  <c r="K450" i="12" s="1"/>
  <c r="F449" i="12"/>
  <c r="H449" i="12" s="1"/>
  <c r="K449" i="12" s="1"/>
  <c r="F448" i="12"/>
  <c r="H448" i="12" s="1"/>
  <c r="K448" i="12" s="1"/>
  <c r="H445" i="12"/>
  <c r="K445" i="12" s="1"/>
  <c r="K443" i="12"/>
  <c r="H441" i="12"/>
  <c r="K441" i="12" s="1"/>
  <c r="H440" i="12"/>
  <c r="K440" i="12" s="1"/>
  <c r="H439" i="12"/>
  <c r="K439" i="12" s="1"/>
  <c r="H438" i="12"/>
  <c r="K438" i="12" s="1"/>
  <c r="H437" i="12"/>
  <c r="K437" i="12" s="1"/>
  <c r="H436" i="12"/>
  <c r="K436" i="12" s="1"/>
  <c r="H435" i="12"/>
  <c r="K435" i="12" s="1"/>
  <c r="H434" i="12"/>
  <c r="K434" i="12" s="1"/>
  <c r="H433" i="12"/>
  <c r="K433" i="12" s="1"/>
  <c r="H432" i="12"/>
  <c r="K432" i="12" s="1"/>
  <c r="H431" i="12"/>
  <c r="K431" i="12" s="1"/>
  <c r="H430" i="12"/>
  <c r="K430" i="12" s="1"/>
  <c r="H429" i="12"/>
  <c r="K429" i="12" s="1"/>
  <c r="H329" i="12"/>
  <c r="K329" i="12" s="1"/>
  <c r="H328" i="12"/>
  <c r="K328" i="12" s="1"/>
  <c r="H327" i="12"/>
  <c r="H326" i="12"/>
  <c r="H321" i="12"/>
  <c r="L392" i="12" l="1"/>
  <c r="E20" i="13" s="1"/>
  <c r="L820" i="12"/>
  <c r="E29" i="13" s="1"/>
  <c r="L835" i="12"/>
  <c r="E32" i="13" s="1"/>
  <c r="K860" i="12"/>
  <c r="K321" i="12"/>
  <c r="L323" i="12" s="1"/>
  <c r="E12" i="13" s="1"/>
  <c r="K858" i="12"/>
  <c r="L855" i="12"/>
  <c r="E36" i="13" s="1"/>
  <c r="L880" i="12"/>
  <c r="E38" i="13" s="1"/>
  <c r="H859" i="12"/>
  <c r="K859" i="12" s="1"/>
  <c r="H471" i="12"/>
  <c r="L479" i="12" s="1"/>
  <c r="E25" i="13" s="1"/>
  <c r="K326" i="12"/>
  <c r="K327" i="12"/>
  <c r="L331" i="12" l="1"/>
  <c r="E13" i="13" s="1"/>
  <c r="L862" i="12"/>
  <c r="E37" i="13" s="1"/>
  <c r="L840" i="12"/>
  <c r="E33" i="13" s="1"/>
  <c r="A53" i="16"/>
  <c r="A39" i="16"/>
  <c r="A38" i="16"/>
  <c r="A37" i="16"/>
  <c r="C22" i="16"/>
  <c r="A4" i="16"/>
  <c r="A5" i="16" s="1"/>
  <c r="C62" i="15"/>
  <c r="C61" i="15"/>
  <c r="C60" i="15"/>
  <c r="H55" i="15"/>
  <c r="G55" i="15"/>
  <c r="H54" i="15"/>
  <c r="G54" i="15"/>
  <c r="H53" i="15"/>
  <c r="G53" i="15"/>
  <c r="H52" i="15"/>
  <c r="G52" i="15"/>
  <c r="H51" i="15"/>
  <c r="G51" i="15"/>
  <c r="H50" i="15"/>
  <c r="G50" i="15"/>
  <c r="H49" i="15"/>
  <c r="G49" i="15"/>
  <c r="H48" i="15"/>
  <c r="G48" i="15"/>
  <c r="H47" i="15"/>
  <c r="G47" i="15"/>
  <c r="H46" i="15"/>
  <c r="G46" i="15"/>
  <c r="H45" i="15"/>
  <c r="G45" i="15"/>
  <c r="H44" i="15"/>
  <c r="G44" i="15"/>
  <c r="H43" i="15"/>
  <c r="G43" i="15"/>
  <c r="H42" i="15"/>
  <c r="G42" i="15"/>
  <c r="H41" i="15"/>
  <c r="G41" i="15"/>
  <c r="H40" i="15"/>
  <c r="G40" i="15"/>
  <c r="H39" i="15"/>
  <c r="G39" i="15"/>
  <c r="H38" i="15"/>
  <c r="G38" i="15"/>
  <c r="H34" i="15"/>
  <c r="G34" i="15"/>
  <c r="I34" i="15" s="1"/>
  <c r="H33" i="15"/>
  <c r="G33" i="15"/>
  <c r="H32" i="15"/>
  <c r="G32" i="15"/>
  <c r="I32" i="15" s="1"/>
  <c r="H31" i="15"/>
  <c r="G31" i="15"/>
  <c r="H30" i="15"/>
  <c r="G30" i="15"/>
  <c r="I30" i="15" s="1"/>
  <c r="H29" i="15"/>
  <c r="G29" i="15"/>
  <c r="H28" i="15"/>
  <c r="G28" i="15"/>
  <c r="I28" i="15" s="1"/>
  <c r="H27" i="15"/>
  <c r="G27" i="15"/>
  <c r="H26" i="15"/>
  <c r="G26" i="15"/>
  <c r="I26" i="15" s="1"/>
  <c r="H25" i="15"/>
  <c r="G25" i="15"/>
  <c r="I25" i="15" s="1"/>
  <c r="H24" i="15"/>
  <c r="G24" i="15"/>
  <c r="I24" i="15" s="1"/>
  <c r="H23" i="15"/>
  <c r="G23" i="15"/>
  <c r="H22" i="15"/>
  <c r="G22" i="15"/>
  <c r="H21" i="15"/>
  <c r="G21" i="15"/>
  <c r="H20" i="15"/>
  <c r="G20" i="15"/>
  <c r="I20" i="15" s="1"/>
  <c r="H19" i="15"/>
  <c r="G19" i="15"/>
  <c r="C18" i="15"/>
  <c r="H17" i="15"/>
  <c r="G17" i="15"/>
  <c r="C16" i="15"/>
  <c r="C15" i="15"/>
  <c r="H14" i="15"/>
  <c r="G14" i="15"/>
  <c r="C13" i="15"/>
  <c r="C12" i="15"/>
  <c r="G12" i="15" s="1"/>
  <c r="H11" i="15"/>
  <c r="G11" i="15"/>
  <c r="A10" i="15"/>
  <c r="A9" i="15"/>
  <c r="A8" i="15"/>
  <c r="A7" i="15"/>
  <c r="A6" i="15"/>
  <c r="A166" i="14"/>
  <c r="A165" i="14"/>
  <c r="H162" i="14"/>
  <c r="G162" i="14"/>
  <c r="H144" i="14"/>
  <c r="G144" i="14"/>
  <c r="H143" i="14"/>
  <c r="G143" i="14"/>
  <c r="H142" i="14"/>
  <c r="G142" i="14"/>
  <c r="H141" i="14"/>
  <c r="G141" i="14"/>
  <c r="H140" i="14"/>
  <c r="G140" i="14"/>
  <c r="H139" i="14"/>
  <c r="G139" i="14"/>
  <c r="H138" i="14"/>
  <c r="G138" i="14"/>
  <c r="H137" i="14"/>
  <c r="G137" i="14"/>
  <c r="H133" i="14"/>
  <c r="G133" i="14"/>
  <c r="H132" i="14"/>
  <c r="G132" i="14"/>
  <c r="H128" i="14"/>
  <c r="G128" i="14"/>
  <c r="H127" i="14"/>
  <c r="G127" i="14"/>
  <c r="H126" i="14"/>
  <c r="G126" i="14"/>
  <c r="H125" i="14"/>
  <c r="G125" i="14"/>
  <c r="H124" i="14"/>
  <c r="G124" i="14"/>
  <c r="H123" i="14"/>
  <c r="G123" i="14"/>
  <c r="H119" i="14"/>
  <c r="G119" i="14"/>
  <c r="H118" i="14"/>
  <c r="G118" i="14"/>
  <c r="H117" i="14"/>
  <c r="G117" i="14"/>
  <c r="H116" i="14"/>
  <c r="G116" i="14"/>
  <c r="H112" i="14"/>
  <c r="G112" i="14"/>
  <c r="H111" i="14"/>
  <c r="G111" i="14"/>
  <c r="H110" i="14"/>
  <c r="G110" i="14"/>
  <c r="H106" i="14"/>
  <c r="G106" i="14"/>
  <c r="H105" i="14"/>
  <c r="G105" i="14"/>
  <c r="H104" i="14"/>
  <c r="G104" i="14"/>
  <c r="H100" i="14"/>
  <c r="G100" i="14"/>
  <c r="H99" i="14"/>
  <c r="G99" i="14"/>
  <c r="H98" i="14"/>
  <c r="G98" i="14"/>
  <c r="H97" i="14"/>
  <c r="G97" i="14"/>
  <c r="H96" i="14"/>
  <c r="G96" i="14"/>
  <c r="H95" i="14"/>
  <c r="G95" i="14"/>
  <c r="H94" i="14"/>
  <c r="G94" i="14"/>
  <c r="H90" i="14"/>
  <c r="G90" i="14"/>
  <c r="H89" i="14"/>
  <c r="G89" i="14"/>
  <c r="H88" i="14"/>
  <c r="G88" i="14"/>
  <c r="H84" i="14"/>
  <c r="G84" i="14"/>
  <c r="H83" i="14"/>
  <c r="G83" i="14"/>
  <c r="H82" i="14"/>
  <c r="G82" i="14"/>
  <c r="H81" i="14"/>
  <c r="G81" i="14"/>
  <c r="H80" i="14"/>
  <c r="G80" i="14"/>
  <c r="H79" i="14"/>
  <c r="G79" i="14"/>
  <c r="H78" i="14"/>
  <c r="G78" i="14"/>
  <c r="H74" i="14"/>
  <c r="G74" i="14"/>
  <c r="H73" i="14"/>
  <c r="G73" i="14"/>
  <c r="H72" i="14"/>
  <c r="G72" i="14"/>
  <c r="H71" i="14"/>
  <c r="G71" i="14"/>
  <c r="H70" i="14"/>
  <c r="G70" i="14"/>
  <c r="H69" i="14"/>
  <c r="G69" i="14"/>
  <c r="H65" i="14"/>
  <c r="G65" i="14"/>
  <c r="H64" i="14"/>
  <c r="G64" i="14"/>
  <c r="H63" i="14"/>
  <c r="G63" i="14"/>
  <c r="H62" i="14"/>
  <c r="G62" i="14"/>
  <c r="C61" i="14"/>
  <c r="H61" i="14" s="1"/>
  <c r="H60" i="14"/>
  <c r="G60" i="14"/>
  <c r="H59" i="14"/>
  <c r="G59" i="14"/>
  <c r="H55" i="14"/>
  <c r="G55" i="14"/>
  <c r="H54" i="14"/>
  <c r="G54" i="14"/>
  <c r="H53" i="14"/>
  <c r="G53" i="14"/>
  <c r="H49" i="14"/>
  <c r="G49" i="14"/>
  <c r="H48" i="14"/>
  <c r="G48" i="14"/>
  <c r="H47" i="14"/>
  <c r="G47" i="14"/>
  <c r="H43" i="14"/>
  <c r="G43" i="14"/>
  <c r="H42" i="14"/>
  <c r="G42" i="14"/>
  <c r="H41" i="14"/>
  <c r="G41" i="14"/>
  <c r="H37" i="14"/>
  <c r="G37" i="14"/>
  <c r="H36" i="14"/>
  <c r="G36" i="14"/>
  <c r="H35" i="14"/>
  <c r="G35" i="14"/>
  <c r="H34" i="14"/>
  <c r="G34" i="14"/>
  <c r="H33" i="14"/>
  <c r="G33" i="14"/>
  <c r="H32" i="14"/>
  <c r="G32" i="14"/>
  <c r="H31" i="14"/>
  <c r="G31" i="14"/>
  <c r="H27" i="14"/>
  <c r="G27" i="14"/>
  <c r="H26" i="14"/>
  <c r="G26" i="14"/>
  <c r="H25" i="14"/>
  <c r="G25" i="14"/>
  <c r="H24" i="14"/>
  <c r="G24" i="14"/>
  <c r="H23" i="14"/>
  <c r="G23" i="14"/>
  <c r="H22" i="14"/>
  <c r="G22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A8" i="14"/>
  <c r="A7" i="14"/>
  <c r="A6" i="14"/>
  <c r="H165" i="14" l="1"/>
  <c r="I168" i="14" s="1"/>
  <c r="H16" i="15"/>
  <c r="H15" i="15"/>
  <c r="I27" i="15"/>
  <c r="I23" i="15"/>
  <c r="I21" i="15"/>
  <c r="I22" i="15"/>
  <c r="I19" i="15"/>
  <c r="I14" i="15"/>
  <c r="I23" i="14"/>
  <c r="I25" i="14"/>
  <c r="I27" i="14"/>
  <c r="I53" i="14"/>
  <c r="I55" i="14"/>
  <c r="I65" i="14"/>
  <c r="I78" i="14"/>
  <c r="I80" i="14"/>
  <c r="I84" i="14"/>
  <c r="I95" i="14"/>
  <c r="I110" i="14"/>
  <c r="I63" i="14"/>
  <c r="I112" i="14"/>
  <c r="I89" i="14"/>
  <c r="I104" i="14"/>
  <c r="I106" i="14"/>
  <c r="I132" i="14"/>
  <c r="I82" i="14"/>
  <c r="I38" i="15"/>
  <c r="I40" i="15"/>
  <c r="I42" i="15"/>
  <c r="I44" i="15"/>
  <c r="I46" i="15"/>
  <c r="I48" i="15"/>
  <c r="I50" i="15"/>
  <c r="I52" i="15"/>
  <c r="I54" i="15"/>
  <c r="G16" i="15"/>
  <c r="G15" i="15"/>
  <c r="I29" i="15"/>
  <c r="I31" i="15"/>
  <c r="I33" i="15"/>
  <c r="I17" i="15"/>
  <c r="I39" i="15"/>
  <c r="I41" i="15"/>
  <c r="I43" i="15"/>
  <c r="I45" i="15"/>
  <c r="I47" i="15"/>
  <c r="I49" i="15"/>
  <c r="I51" i="15"/>
  <c r="I53" i="15"/>
  <c r="I55" i="15"/>
  <c r="I36" i="14"/>
  <c r="I47" i="14"/>
  <c r="I49" i="14"/>
  <c r="I60" i="14"/>
  <c r="I70" i="14"/>
  <c r="I72" i="14"/>
  <c r="I74" i="14"/>
  <c r="I126" i="14"/>
  <c r="I99" i="14"/>
  <c r="I123" i="14"/>
  <c r="I125" i="14"/>
  <c r="I127" i="14"/>
  <c r="I138" i="14"/>
  <c r="I140" i="14"/>
  <c r="I142" i="14"/>
  <c r="I144" i="14"/>
  <c r="I162" i="14"/>
  <c r="I34" i="14"/>
  <c r="I10" i="14"/>
  <c r="I12" i="14"/>
  <c r="I14" i="14"/>
  <c r="I16" i="14"/>
  <c r="I18" i="14"/>
  <c r="I31" i="14"/>
  <c r="I35" i="14"/>
  <c r="I37" i="14"/>
  <c r="I48" i="14"/>
  <c r="I59" i="14"/>
  <c r="I69" i="14"/>
  <c r="I71" i="14"/>
  <c r="I73" i="14"/>
  <c r="I88" i="14"/>
  <c r="I90" i="14"/>
  <c r="I105" i="14"/>
  <c r="I116" i="14"/>
  <c r="I22" i="14"/>
  <c r="I24" i="14"/>
  <c r="I26" i="14"/>
  <c r="I33" i="14"/>
  <c r="I97" i="14"/>
  <c r="I118" i="14"/>
  <c r="I133" i="14"/>
  <c r="I11" i="14"/>
  <c r="I13" i="14"/>
  <c r="I15" i="14"/>
  <c r="I17" i="14"/>
  <c r="I32" i="14"/>
  <c r="I41" i="14"/>
  <c r="I43" i="14"/>
  <c r="I54" i="14"/>
  <c r="I62" i="14"/>
  <c r="I64" i="14"/>
  <c r="I79" i="14"/>
  <c r="I81" i="14"/>
  <c r="I94" i="14"/>
  <c r="I96" i="14"/>
  <c r="I98" i="14"/>
  <c r="I100" i="14"/>
  <c r="I111" i="14"/>
  <c r="I124" i="14"/>
  <c r="I128" i="14"/>
  <c r="I137" i="14"/>
  <c r="I139" i="14"/>
  <c r="G61" i="14"/>
  <c r="I61" i="14" s="1"/>
  <c r="I117" i="14"/>
  <c r="I119" i="14"/>
  <c r="I42" i="14"/>
  <c r="I83" i="14"/>
  <c r="I141" i="14"/>
  <c r="I143" i="14"/>
  <c r="A6" i="16"/>
  <c r="G18" i="15"/>
  <c r="I11" i="15"/>
  <c r="H12" i="15"/>
  <c r="G13" i="15"/>
  <c r="H18" i="15"/>
  <c r="A11" i="15"/>
  <c r="H13" i="15"/>
  <c r="I9" i="14"/>
  <c r="A9" i="14"/>
  <c r="I15" i="15" l="1"/>
  <c r="G67" i="15"/>
  <c r="I167" i="14"/>
  <c r="G165" i="14"/>
  <c r="I169" i="14"/>
  <c r="K379" i="12" s="1"/>
  <c r="L381" i="12" s="1"/>
  <c r="E18" i="13" s="1"/>
  <c r="I16" i="15"/>
  <c r="H67" i="15"/>
  <c r="I70" i="15" s="1"/>
  <c r="A7" i="16"/>
  <c r="A8" i="16"/>
  <c r="A12" i="15"/>
  <c r="I12" i="15"/>
  <c r="I18" i="15"/>
  <c r="I13" i="15"/>
  <c r="A10" i="14"/>
  <c r="I69" i="15" l="1"/>
  <c r="I71" i="15" s="1"/>
  <c r="A11" i="14"/>
  <c r="A12" i="14" s="1"/>
  <c r="A13" i="14"/>
  <c r="A13" i="15"/>
  <c r="A9" i="16"/>
  <c r="A10" i="16" s="1"/>
  <c r="A14" i="14" l="1"/>
  <c r="A15" i="14" s="1"/>
  <c r="A14" i="15"/>
  <c r="A11" i="16"/>
  <c r="A12" i="16" s="1"/>
  <c r="A16" i="14" l="1"/>
  <c r="A17" i="14" s="1"/>
  <c r="A18" i="14" s="1"/>
  <c r="A22" i="14" s="1"/>
  <c r="A23" i="14" s="1"/>
  <c r="A24" i="14" s="1"/>
  <c r="A25" i="14" s="1"/>
  <c r="A15" i="15"/>
  <c r="A13" i="16"/>
  <c r="A14" i="16" s="1"/>
  <c r="A26" i="14" l="1"/>
  <c r="A27" i="14" s="1"/>
  <c r="A31" i="14" s="1"/>
  <c r="A32" i="14" s="1"/>
  <c r="A33" i="14" s="1"/>
  <c r="A34" i="14" s="1"/>
  <c r="A35" i="14" s="1"/>
  <c r="A36" i="14" s="1"/>
  <c r="A37" i="14" s="1"/>
  <c r="A41" i="14" s="1"/>
  <c r="A42" i="14" s="1"/>
  <c r="A43" i="14" s="1"/>
  <c r="A47" i="14" s="1"/>
  <c r="A48" i="14" s="1"/>
  <c r="A49" i="14" s="1"/>
  <c r="A53" i="14" s="1"/>
  <c r="A54" i="14" s="1"/>
  <c r="A55" i="14" s="1"/>
  <c r="A59" i="14" s="1"/>
  <c r="A60" i="14" s="1"/>
  <c r="A61" i="14" s="1"/>
  <c r="A62" i="14" s="1"/>
  <c r="A63" i="14" s="1"/>
  <c r="A64" i="14" s="1"/>
  <c r="A65" i="14" s="1"/>
  <c r="A69" i="14" s="1"/>
  <c r="A70" i="14" s="1"/>
  <c r="A71" i="14" s="1"/>
  <c r="A72" i="14" s="1"/>
  <c r="A73" i="14" s="1"/>
  <c r="A74" i="14" s="1"/>
  <c r="A78" i="14" s="1"/>
  <c r="A79" i="14" s="1"/>
  <c r="A80" i="14" s="1"/>
  <c r="A81" i="14" s="1"/>
  <c r="A82" i="14" s="1"/>
  <c r="A83" i="14" s="1"/>
  <c r="A84" i="14" s="1"/>
  <c r="A88" i="14" s="1"/>
  <c r="A89" i="14" s="1"/>
  <c r="A90" i="14" s="1"/>
  <c r="A94" i="14" s="1"/>
  <c r="A95" i="14" s="1"/>
  <c r="A96" i="14" s="1"/>
  <c r="A97" i="14" s="1"/>
  <c r="A98" i="14" s="1"/>
  <c r="A99" i="14" s="1"/>
  <c r="A100" i="14" s="1"/>
  <c r="A104" i="14" s="1"/>
  <c r="A105" i="14" s="1"/>
  <c r="A106" i="14" s="1"/>
  <c r="A110" i="14" s="1"/>
  <c r="A111" i="14" s="1"/>
  <c r="A112" i="14" s="1"/>
  <c r="A116" i="14" s="1"/>
  <c r="A117" i="14" s="1"/>
  <c r="A118" i="14" s="1"/>
  <c r="A119" i="14" s="1"/>
  <c r="A123" i="14" s="1"/>
  <c r="A124" i="14" s="1"/>
  <c r="A125" i="14" s="1"/>
  <c r="A126" i="14" s="1"/>
  <c r="A127" i="14" s="1"/>
  <c r="A128" i="14" s="1"/>
  <c r="A132" i="14" s="1"/>
  <c r="A133" i="14" s="1"/>
  <c r="A137" i="14" s="1"/>
  <c r="A138" i="14" s="1"/>
  <c r="A139" i="14" s="1"/>
  <c r="A140" i="14" s="1"/>
  <c r="A141" i="14" s="1"/>
  <c r="A142" i="14" s="1"/>
  <c r="A143" i="14" s="1"/>
  <c r="A144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2" i="14" s="1"/>
  <c r="A16" i="15"/>
  <c r="A15" i="16"/>
  <c r="A16" i="16" s="1"/>
  <c r="A17" i="16" s="1"/>
  <c r="A17" i="15" l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18" i="16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28" i="15" l="1"/>
  <c r="A29" i="15" s="1"/>
  <c r="A30" i="15" s="1"/>
  <c r="A31" i="15" s="1"/>
  <c r="A32" i="15" s="1"/>
  <c r="A33" i="15" s="1"/>
  <c r="A34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9" i="15" s="1"/>
  <c r="A60" i="15" s="1"/>
  <c r="A61" i="15" s="1"/>
  <c r="A62" i="15" s="1"/>
  <c r="A64" i="15" s="1"/>
  <c r="F316" i="12"/>
  <c r="H316" i="12" s="1"/>
  <c r="K316" i="12" s="1"/>
  <c r="F310" i="12"/>
  <c r="H310" i="12" s="1"/>
  <c r="K310" i="12" s="1"/>
  <c r="F303" i="12"/>
  <c r="H303" i="12" s="1"/>
  <c r="K303" i="12" s="1"/>
  <c r="F297" i="12"/>
  <c r="H297" i="12" s="1"/>
  <c r="K297" i="12" s="1"/>
  <c r="F290" i="12"/>
  <c r="H290" i="12" s="1"/>
  <c r="K290" i="12" s="1"/>
  <c r="F284" i="12"/>
  <c r="F275" i="12"/>
  <c r="H275" i="12" s="1"/>
  <c r="K275" i="12" s="1"/>
  <c r="F278" i="12"/>
  <c r="H278" i="12" s="1"/>
  <c r="K278" i="12" s="1"/>
  <c r="F272" i="12"/>
  <c r="H272" i="12" s="1"/>
  <c r="K272" i="12" s="1"/>
  <c r="F266" i="12"/>
  <c r="H266" i="12" s="1"/>
  <c r="K266" i="12" s="1"/>
  <c r="F265" i="12"/>
  <c r="H265" i="12" s="1"/>
  <c r="K265" i="12" s="1"/>
  <c r="F301" i="12"/>
  <c r="H301" i="12" s="1"/>
  <c r="K301" i="12" s="1"/>
  <c r="F302" i="12"/>
  <c r="H302" i="12" s="1"/>
  <c r="K302" i="12" s="1"/>
  <c r="F281" i="12"/>
  <c r="F269" i="12"/>
  <c r="F271" i="12"/>
  <c r="H271" i="12" s="1"/>
  <c r="K271" i="12" s="1"/>
  <c r="F277" i="12"/>
  <c r="H277" i="12" s="1"/>
  <c r="K277" i="12" s="1"/>
  <c r="F289" i="12"/>
  <c r="H289" i="12" s="1"/>
  <c r="K289" i="12" s="1"/>
  <c r="F295" i="12"/>
  <c r="H295" i="12" s="1"/>
  <c r="K295" i="12" s="1"/>
  <c r="F296" i="12"/>
  <c r="H296" i="12" s="1"/>
  <c r="K296" i="12" s="1"/>
  <c r="F308" i="12"/>
  <c r="H308" i="12" s="1"/>
  <c r="K308" i="12" s="1"/>
  <c r="F309" i="12"/>
  <c r="H309" i="12" s="1"/>
  <c r="K309" i="12" s="1"/>
  <c r="F315" i="12"/>
  <c r="H315" i="12" s="1"/>
  <c r="K315" i="12" s="1"/>
  <c r="F314" i="12"/>
  <c r="H314" i="12" s="1"/>
  <c r="K314" i="12" s="1"/>
  <c r="H283" i="12"/>
  <c r="K283" i="12" s="1"/>
  <c r="F948" i="12"/>
  <c r="H948" i="12" s="1"/>
  <c r="K948" i="12" s="1"/>
  <c r="F947" i="12"/>
  <c r="H947" i="12" s="1"/>
  <c r="K947" i="12" s="1"/>
  <c r="F945" i="12"/>
  <c r="F943" i="12"/>
  <c r="H943" i="12" s="1"/>
  <c r="K943" i="12" s="1"/>
  <c r="F942" i="12"/>
  <c r="H942" i="12" s="1"/>
  <c r="K942" i="12" s="1"/>
  <c r="F940" i="12"/>
  <c r="H940" i="12" s="1"/>
  <c r="K940" i="12" s="1"/>
  <c r="F939" i="12"/>
  <c r="H939" i="12" s="1"/>
  <c r="K939" i="12" s="1"/>
  <c r="H931" i="12"/>
  <c r="K931" i="12" s="1"/>
  <c r="F803" i="12"/>
  <c r="H803" i="12" s="1"/>
  <c r="K803" i="12" s="1"/>
  <c r="F804" i="12"/>
  <c r="H802" i="12"/>
  <c r="K802" i="12" s="1"/>
  <c r="H415" i="12"/>
  <c r="K415" i="12" s="1"/>
  <c r="F408" i="12"/>
  <c r="F413" i="12"/>
  <c r="H418" i="12"/>
  <c r="K418" i="12" s="1"/>
  <c r="H888" i="12"/>
  <c r="K888" i="12" s="1"/>
  <c r="F801" i="12"/>
  <c r="F313" i="12"/>
  <c r="H313" i="12" s="1"/>
  <c r="K313" i="12" s="1"/>
  <c r="F307" i="12"/>
  <c r="F300" i="12"/>
  <c r="H300" i="12" s="1"/>
  <c r="K300" i="12" s="1"/>
  <c r="F294" i="12"/>
  <c r="H294" i="12" s="1"/>
  <c r="K294" i="12" s="1"/>
  <c r="F288" i="12"/>
  <c r="F287" i="12"/>
  <c r="F282" i="12"/>
  <c r="F276" i="12"/>
  <c r="H276" i="12" s="1"/>
  <c r="K276" i="12" s="1"/>
  <c r="F270" i="12"/>
  <c r="F264" i="12"/>
  <c r="H264" i="12" s="1"/>
  <c r="K264" i="12" s="1"/>
  <c r="F263" i="12"/>
  <c r="H263" i="12" s="1"/>
  <c r="K263" i="12" s="1"/>
  <c r="F795" i="12"/>
  <c r="H795" i="12" s="1"/>
  <c r="K795" i="12" s="1"/>
  <c r="F796" i="12"/>
  <c r="H796" i="12" s="1"/>
  <c r="K796" i="12" s="1"/>
  <c r="F790" i="12"/>
  <c r="F652" i="12"/>
  <c r="F651" i="12"/>
  <c r="F646" i="12"/>
  <c r="F643" i="12"/>
  <c r="H643" i="12" s="1"/>
  <c r="K643" i="12" s="1"/>
  <c r="F642" i="12"/>
  <c r="H642" i="12" s="1"/>
  <c r="K642" i="12" s="1"/>
  <c r="F637" i="12"/>
  <c r="H637" i="12" s="1"/>
  <c r="F634" i="12"/>
  <c r="F633" i="12"/>
  <c r="F628" i="12"/>
  <c r="F625" i="12"/>
  <c r="H625" i="12" s="1"/>
  <c r="K625" i="12" s="1"/>
  <c r="F624" i="12"/>
  <c r="H624" i="12" s="1"/>
  <c r="K624" i="12" s="1"/>
  <c r="F623" i="12"/>
  <c r="H623" i="12" s="1"/>
  <c r="K623" i="12" s="1"/>
  <c r="F622" i="12"/>
  <c r="H622" i="12" s="1"/>
  <c r="K622" i="12" s="1"/>
  <c r="F621" i="12"/>
  <c r="H621" i="12" s="1"/>
  <c r="K621" i="12" s="1"/>
  <c r="F616" i="12"/>
  <c r="H616" i="12" s="1"/>
  <c r="F613" i="12"/>
  <c r="F612" i="12"/>
  <c r="F611" i="12"/>
  <c r="F610" i="12"/>
  <c r="F609" i="12"/>
  <c r="F604" i="12"/>
  <c r="F601" i="12"/>
  <c r="H601" i="12" s="1"/>
  <c r="K601" i="12" s="1"/>
  <c r="F600" i="12"/>
  <c r="H600" i="12" s="1"/>
  <c r="K600" i="12" s="1"/>
  <c r="F599" i="12"/>
  <c r="H599" i="12" s="1"/>
  <c r="K599" i="12" s="1"/>
  <c r="F598" i="12"/>
  <c r="H598" i="12" s="1"/>
  <c r="K598" i="12" s="1"/>
  <c r="F597" i="12"/>
  <c r="H597" i="12" s="1"/>
  <c r="K597" i="12" s="1"/>
  <c r="F592" i="12"/>
  <c r="H592" i="12" s="1"/>
  <c r="F589" i="12"/>
  <c r="F588" i="12"/>
  <c r="F587" i="12"/>
  <c r="F582" i="12"/>
  <c r="F581" i="12"/>
  <c r="F578" i="12"/>
  <c r="H578" i="12" s="1"/>
  <c r="K578" i="12" s="1"/>
  <c r="F577" i="12"/>
  <c r="H577" i="12" s="1"/>
  <c r="K577" i="12" s="1"/>
  <c r="F576" i="12"/>
  <c r="H576" i="12" s="1"/>
  <c r="K576" i="12" s="1"/>
  <c r="F571" i="12"/>
  <c r="H571" i="12" s="1"/>
  <c r="H574" i="12" s="1"/>
  <c r="F568" i="12"/>
  <c r="F567" i="12"/>
  <c r="F566" i="12"/>
  <c r="F561" i="12"/>
  <c r="F558" i="12"/>
  <c r="H558" i="12" s="1"/>
  <c r="K558" i="12" s="1"/>
  <c r="F557" i="12"/>
  <c r="H557" i="12" s="1"/>
  <c r="K557" i="12" s="1"/>
  <c r="F552" i="12"/>
  <c r="H552" i="12" s="1"/>
  <c r="F551" i="12"/>
  <c r="H551" i="12" s="1"/>
  <c r="F548" i="12"/>
  <c r="F547" i="12"/>
  <c r="F542" i="12"/>
  <c r="H542" i="12" s="1"/>
  <c r="F541" i="12"/>
  <c r="H541" i="12" s="1"/>
  <c r="K541" i="12" s="1"/>
  <c r="F538" i="12"/>
  <c r="H538" i="12" s="1"/>
  <c r="K538" i="12" s="1"/>
  <c r="F537" i="12"/>
  <c r="H537" i="12" s="1"/>
  <c r="K537" i="12" s="1"/>
  <c r="F532" i="12"/>
  <c r="H532" i="12" s="1"/>
  <c r="H536" i="12" s="1"/>
  <c r="F529" i="12"/>
  <c r="H529" i="12" s="1"/>
  <c r="K529" i="12" s="1"/>
  <c r="F528" i="12"/>
  <c r="H528" i="12" s="1"/>
  <c r="K528" i="12" s="1"/>
  <c r="F523" i="12"/>
  <c r="H523" i="12" s="1"/>
  <c r="F522" i="12"/>
  <c r="H522" i="12" s="1"/>
  <c r="K522" i="12" s="1"/>
  <c r="F786" i="12"/>
  <c r="H786" i="12" s="1"/>
  <c r="K786" i="12" s="1"/>
  <c r="F780" i="12"/>
  <c r="F785" i="12"/>
  <c r="F776" i="12"/>
  <c r="H776" i="12" s="1"/>
  <c r="K776" i="12" s="1"/>
  <c r="F777" i="12"/>
  <c r="H777" i="12" s="1"/>
  <c r="K777" i="12" s="1"/>
  <c r="F771" i="12"/>
  <c r="H771" i="12" s="1"/>
  <c r="K771" i="12" s="1"/>
  <c r="F767" i="12"/>
  <c r="H767" i="12" s="1"/>
  <c r="K767" i="12" s="1"/>
  <c r="F768" i="12"/>
  <c r="H768" i="12" s="1"/>
  <c r="K768" i="12" s="1"/>
  <c r="F762" i="12"/>
  <c r="H762" i="12" s="1"/>
  <c r="H766" i="12" s="1"/>
  <c r="F759" i="12"/>
  <c r="H759" i="12" s="1"/>
  <c r="K759" i="12" s="1"/>
  <c r="F755" i="12"/>
  <c r="H755" i="12" s="1"/>
  <c r="K755" i="12" s="1"/>
  <c r="F758" i="12"/>
  <c r="H758" i="12" s="1"/>
  <c r="K758" i="12" s="1"/>
  <c r="F757" i="12"/>
  <c r="H757" i="12" s="1"/>
  <c r="K757" i="12" s="1"/>
  <c r="F756" i="12"/>
  <c r="H756" i="12" s="1"/>
  <c r="K756" i="12" s="1"/>
  <c r="F750" i="12"/>
  <c r="H750" i="12" s="1"/>
  <c r="H754" i="12" s="1"/>
  <c r="F747" i="12"/>
  <c r="H747" i="12" s="1"/>
  <c r="K747" i="12" s="1"/>
  <c r="F745" i="12"/>
  <c r="H745" i="12" s="1"/>
  <c r="K745" i="12" s="1"/>
  <c r="F746" i="12"/>
  <c r="H746" i="12" s="1"/>
  <c r="K746" i="12" s="1"/>
  <c r="F738" i="12"/>
  <c r="H738" i="12" s="1"/>
  <c r="H742" i="12" s="1"/>
  <c r="F744" i="12"/>
  <c r="H744" i="12" s="1"/>
  <c r="K744" i="12" s="1"/>
  <c r="F743" i="12"/>
  <c r="H743" i="12" s="1"/>
  <c r="K743" i="12" s="1"/>
  <c r="F734" i="12"/>
  <c r="H734" i="12" s="1"/>
  <c r="K734" i="12" s="1"/>
  <c r="F733" i="12"/>
  <c r="H733" i="12" s="1"/>
  <c r="K733" i="12" s="1"/>
  <c r="F732" i="12"/>
  <c r="H732" i="12" s="1"/>
  <c r="K732" i="12" s="1"/>
  <c r="F726" i="12"/>
  <c r="H726" i="12" s="1"/>
  <c r="H730" i="12" s="1"/>
  <c r="F735" i="12"/>
  <c r="H735" i="12" s="1"/>
  <c r="K735" i="12" s="1"/>
  <c r="F731" i="12"/>
  <c r="H731" i="12" s="1"/>
  <c r="K731" i="12" s="1"/>
  <c r="F721" i="12"/>
  <c r="H721" i="12" s="1"/>
  <c r="K721" i="12" s="1"/>
  <c r="F723" i="12"/>
  <c r="H723" i="12" s="1"/>
  <c r="K723" i="12" s="1"/>
  <c r="F722" i="12"/>
  <c r="H722" i="12" s="1"/>
  <c r="K722" i="12" s="1"/>
  <c r="F716" i="12"/>
  <c r="H716" i="12" s="1"/>
  <c r="F715" i="12"/>
  <c r="H715" i="12" s="1"/>
  <c r="F701" i="12"/>
  <c r="H701" i="12" s="1"/>
  <c r="K701" i="12" s="1"/>
  <c r="F711" i="12"/>
  <c r="H711" i="12" s="1"/>
  <c r="K711" i="12" s="1"/>
  <c r="F712" i="12"/>
  <c r="H712" i="12" s="1"/>
  <c r="K712" i="12" s="1"/>
  <c r="F710" i="12"/>
  <c r="H710" i="12" s="1"/>
  <c r="K710" i="12" s="1"/>
  <c r="F705" i="12"/>
  <c r="H705" i="12" s="1"/>
  <c r="H709" i="12" s="1"/>
  <c r="F702" i="12"/>
  <c r="H702" i="12" s="1"/>
  <c r="K702" i="12" s="1"/>
  <c r="F700" i="12"/>
  <c r="H700" i="12" s="1"/>
  <c r="K700" i="12" s="1"/>
  <c r="F695" i="12"/>
  <c r="H695" i="12" s="1"/>
  <c r="H698" i="12" s="1"/>
  <c r="F691" i="12"/>
  <c r="H691" i="12" s="1"/>
  <c r="K691" i="12" s="1"/>
  <c r="F692" i="12"/>
  <c r="H692" i="12" s="1"/>
  <c r="K692" i="12" s="1"/>
  <c r="F686" i="12"/>
  <c r="H686" i="12" s="1"/>
  <c r="F685" i="12"/>
  <c r="H685" i="12" s="1"/>
  <c r="K685" i="12" s="1"/>
  <c r="F682" i="12"/>
  <c r="H682" i="12" s="1"/>
  <c r="K682" i="12" s="1"/>
  <c r="F681" i="12"/>
  <c r="H681" i="12" s="1"/>
  <c r="K681" i="12" s="1"/>
  <c r="F676" i="12"/>
  <c r="H676" i="12" s="1"/>
  <c r="F675" i="12"/>
  <c r="H675" i="12" s="1"/>
  <c r="K675" i="12" s="1"/>
  <c r="F672" i="12"/>
  <c r="H672" i="12" s="1"/>
  <c r="K672" i="12" s="1"/>
  <c r="F671" i="12"/>
  <c r="H671" i="12" s="1"/>
  <c r="K671" i="12" s="1"/>
  <c r="F666" i="12"/>
  <c r="H666" i="12" s="1"/>
  <c r="K666" i="12" s="1"/>
  <c r="F663" i="12"/>
  <c r="H663" i="12" s="1"/>
  <c r="K663" i="12" s="1"/>
  <c r="F662" i="12"/>
  <c r="H662" i="12" s="1"/>
  <c r="K662" i="12" s="1"/>
  <c r="F657" i="12"/>
  <c r="H657" i="12" s="1"/>
  <c r="F656" i="12"/>
  <c r="H656" i="12" s="1"/>
  <c r="K656" i="12" s="1"/>
  <c r="F518" i="12"/>
  <c r="H518" i="12" s="1"/>
  <c r="K518" i="12" s="1"/>
  <c r="F517" i="12"/>
  <c r="H517" i="12" s="1"/>
  <c r="K517" i="12" s="1"/>
  <c r="F512" i="12"/>
  <c r="H512" i="12" s="1"/>
  <c r="F509" i="12"/>
  <c r="H509" i="12" s="1"/>
  <c r="K509" i="12" s="1"/>
  <c r="F508" i="12"/>
  <c r="H508" i="12" s="1"/>
  <c r="K508" i="12" s="1"/>
  <c r="F503" i="12"/>
  <c r="H503" i="12" s="1"/>
  <c r="F500" i="12"/>
  <c r="H500" i="12" s="1"/>
  <c r="K500" i="12" s="1"/>
  <c r="F499" i="12"/>
  <c r="H499" i="12" s="1"/>
  <c r="K499" i="12" s="1"/>
  <c r="F494" i="12"/>
  <c r="H494" i="12" s="1"/>
  <c r="F491" i="12"/>
  <c r="F490" i="12"/>
  <c r="F485" i="12"/>
  <c r="H485" i="12" s="1"/>
  <c r="K485" i="12" s="1"/>
  <c r="H890" i="12"/>
  <c r="K890" i="12" s="1"/>
  <c r="H889" i="12"/>
  <c r="K889" i="12" s="1"/>
  <c r="H809" i="12"/>
  <c r="K809" i="12" s="1"/>
  <c r="L811" i="12" s="1"/>
  <c r="E28" i="13" s="1"/>
  <c r="H284" i="12" l="1"/>
  <c r="K284" i="12" s="1"/>
  <c r="H945" i="12"/>
  <c r="K945" i="12" s="1"/>
  <c r="L951" i="12" s="1"/>
  <c r="E46" i="13" s="1"/>
  <c r="H667" i="12"/>
  <c r="H668" i="12" s="1"/>
  <c r="H669" i="12"/>
  <c r="H670" i="12"/>
  <c r="H533" i="12"/>
  <c r="H534" i="12" s="1"/>
  <c r="H535" i="12"/>
  <c r="H486" i="12"/>
  <c r="H487" i="12" s="1"/>
  <c r="H488" i="12"/>
  <c r="H489" i="12"/>
  <c r="H269" i="12"/>
  <c r="K269" i="12" s="1"/>
  <c r="H270" i="12"/>
  <c r="K270" i="12" s="1"/>
  <c r="H281" i="12"/>
  <c r="K281" i="12" s="1"/>
  <c r="H282" i="12"/>
  <c r="K282" i="12" s="1"/>
  <c r="H307" i="12"/>
  <c r="K307" i="12" s="1"/>
  <c r="H288" i="12"/>
  <c r="K288" i="12" s="1"/>
  <c r="H287" i="12"/>
  <c r="K287" i="12" s="1"/>
  <c r="H595" i="12"/>
  <c r="K592" i="12"/>
  <c r="H596" i="12"/>
  <c r="H556" i="12"/>
  <c r="K551" i="12"/>
  <c r="H619" i="12"/>
  <c r="K616" i="12"/>
  <c r="H620" i="12"/>
  <c r="H640" i="12"/>
  <c r="K637" i="12"/>
  <c r="H641" i="12"/>
  <c r="K571" i="12"/>
  <c r="H790" i="12"/>
  <c r="H794" i="12" s="1"/>
  <c r="H555" i="12"/>
  <c r="H575" i="12"/>
  <c r="K552" i="12"/>
  <c r="K523" i="12"/>
  <c r="H527" i="12"/>
  <c r="H526" i="12"/>
  <c r="H524" i="12"/>
  <c r="H525" i="12" s="1"/>
  <c r="H543" i="12"/>
  <c r="H544" i="12" s="1"/>
  <c r="K542" i="12"/>
  <c r="H545" i="12"/>
  <c r="H546" i="12"/>
  <c r="H547" i="12"/>
  <c r="K547" i="12" s="1"/>
  <c r="H548" i="12"/>
  <c r="K548" i="12" s="1"/>
  <c r="H566" i="12"/>
  <c r="K566" i="12" s="1"/>
  <c r="H567" i="12"/>
  <c r="K567" i="12" s="1"/>
  <c r="H568" i="12"/>
  <c r="K568" i="12" s="1"/>
  <c r="H628" i="12"/>
  <c r="H633" i="12"/>
  <c r="K633" i="12" s="1"/>
  <c r="H634" i="12"/>
  <c r="K634" i="12" s="1"/>
  <c r="H646" i="12"/>
  <c r="H651" i="12"/>
  <c r="K651" i="12" s="1"/>
  <c r="H652" i="12"/>
  <c r="K652" i="12" s="1"/>
  <c r="K532" i="12"/>
  <c r="H581" i="12"/>
  <c r="K581" i="12" s="1"/>
  <c r="H587" i="12"/>
  <c r="K587" i="12" s="1"/>
  <c r="H588" i="12"/>
  <c r="K588" i="12" s="1"/>
  <c r="H609" i="12"/>
  <c r="K609" i="12" s="1"/>
  <c r="H611" i="12"/>
  <c r="K611" i="12" s="1"/>
  <c r="H553" i="12"/>
  <c r="H554" i="12" s="1"/>
  <c r="H572" i="12"/>
  <c r="H573" i="12" s="1"/>
  <c r="H593" i="12"/>
  <c r="H594" i="12" s="1"/>
  <c r="H617" i="12"/>
  <c r="H618" i="12" s="1"/>
  <c r="H638" i="12"/>
  <c r="H639" i="12" s="1"/>
  <c r="H561" i="12"/>
  <c r="H582" i="12"/>
  <c r="H589" i="12"/>
  <c r="K589" i="12" s="1"/>
  <c r="H604" i="12"/>
  <c r="H610" i="12"/>
  <c r="K610" i="12" s="1"/>
  <c r="H612" i="12"/>
  <c r="K612" i="12" s="1"/>
  <c r="H613" i="12"/>
  <c r="K613" i="12" s="1"/>
  <c r="H720" i="12"/>
  <c r="H717" i="12"/>
  <c r="H718" i="12" s="1"/>
  <c r="H719" i="12"/>
  <c r="K716" i="12"/>
  <c r="H490" i="12"/>
  <c r="K490" i="12" s="1"/>
  <c r="H491" i="12"/>
  <c r="K491" i="12" s="1"/>
  <c r="H498" i="12"/>
  <c r="K494" i="12"/>
  <c r="H497" i="12"/>
  <c r="H495" i="12"/>
  <c r="H496" i="12" s="1"/>
  <c r="H506" i="12"/>
  <c r="H504" i="12"/>
  <c r="H505" i="12" s="1"/>
  <c r="H507" i="12"/>
  <c r="K503" i="12"/>
  <c r="H516" i="12"/>
  <c r="K512" i="12"/>
  <c r="H515" i="12"/>
  <c r="H513" i="12"/>
  <c r="H514" i="12" s="1"/>
  <c r="H774" i="12"/>
  <c r="H772" i="12"/>
  <c r="H773" i="12" s="1"/>
  <c r="H775" i="12"/>
  <c r="H765" i="12"/>
  <c r="H763" i="12"/>
  <c r="H764" i="12" s="1"/>
  <c r="K762" i="12"/>
  <c r="K738" i="12"/>
  <c r="H706" i="12"/>
  <c r="H707" i="12" s="1"/>
  <c r="H679" i="12"/>
  <c r="H729" i="12"/>
  <c r="K750" i="12"/>
  <c r="H727" i="12"/>
  <c r="H728" i="12" s="1"/>
  <c r="H751" i="12"/>
  <c r="H752" i="12" s="1"/>
  <c r="H753" i="12"/>
  <c r="H739" i="12"/>
  <c r="H740" i="12" s="1"/>
  <c r="H741" i="12"/>
  <c r="K726" i="12"/>
  <c r="H689" i="12"/>
  <c r="H708" i="12"/>
  <c r="K715" i="12"/>
  <c r="K705" i="12"/>
  <c r="K695" i="12"/>
  <c r="H699" i="12"/>
  <c r="H696" i="12"/>
  <c r="H697" i="12" s="1"/>
  <c r="H661" i="12"/>
  <c r="K676" i="12"/>
  <c r="K686" i="12"/>
  <c r="H690" i="12"/>
  <c r="H687" i="12"/>
  <c r="H688" i="12" s="1"/>
  <c r="H680" i="12"/>
  <c r="H677" i="12"/>
  <c r="H678" i="12" s="1"/>
  <c r="H658" i="12"/>
  <c r="H659" i="12" s="1"/>
  <c r="H660" i="12"/>
  <c r="K657" i="12"/>
  <c r="L318" i="12" l="1"/>
  <c r="E11" i="13" s="1"/>
  <c r="H791" i="12"/>
  <c r="H792" i="12" s="1"/>
  <c r="H793" i="12"/>
  <c r="K790" i="12"/>
  <c r="H562" i="12"/>
  <c r="H563" i="12" s="1"/>
  <c r="H565" i="12"/>
  <c r="K561" i="12"/>
  <c r="H564" i="12"/>
  <c r="H586" i="12"/>
  <c r="K582" i="12"/>
  <c r="H585" i="12"/>
  <c r="H583" i="12"/>
  <c r="H584" i="12" s="1"/>
  <c r="H608" i="12"/>
  <c r="K604" i="12"/>
  <c r="H607" i="12"/>
  <c r="H605" i="12"/>
  <c r="H606" i="12" s="1"/>
  <c r="H632" i="12"/>
  <c r="K628" i="12"/>
  <c r="H631" i="12"/>
  <c r="H629" i="12"/>
  <c r="H630" i="12" s="1"/>
  <c r="H649" i="12"/>
  <c r="H647" i="12"/>
  <c r="H648" i="12" s="1"/>
  <c r="H650" i="12"/>
  <c r="K646" i="12"/>
  <c r="H804" i="12"/>
  <c r="K804" i="12" s="1"/>
  <c r="H801" i="12"/>
  <c r="K801" i="12" s="1"/>
  <c r="L806" i="12" l="1"/>
  <c r="E27" i="13" s="1"/>
  <c r="H932" i="12" l="1"/>
  <c r="K932" i="12" s="1"/>
  <c r="H930" i="12"/>
  <c r="K930" i="12" s="1"/>
  <c r="H929" i="12"/>
  <c r="K929" i="12" s="1"/>
  <c r="H928" i="12"/>
  <c r="K928" i="12" s="1"/>
  <c r="H927" i="12"/>
  <c r="K927" i="12" s="1"/>
  <c r="L934" i="12" l="1"/>
  <c r="E45" i="13" s="1"/>
  <c r="H384" i="12"/>
  <c r="K384" i="12" l="1"/>
  <c r="L386" i="12" s="1"/>
  <c r="E19" i="13" s="1"/>
  <c r="L397" i="12" l="1"/>
  <c r="E21" i="13" s="1"/>
  <c r="J401" i="12"/>
  <c r="H400" i="12"/>
  <c r="K400" i="12" s="1"/>
  <c r="H401" i="12"/>
  <c r="H10" i="12"/>
  <c r="K10" i="12" s="1"/>
  <c r="H9" i="12"/>
  <c r="K9" i="12" s="1"/>
  <c r="A8" i="12"/>
  <c r="A7" i="12"/>
  <c r="E41" i="13" l="1"/>
  <c r="K401" i="12"/>
  <c r="L403" i="12" s="1"/>
  <c r="A9" i="12"/>
  <c r="L12" i="12"/>
  <c r="E5" i="13" s="1"/>
  <c r="E22" i="13" l="1"/>
  <c r="A10" i="12"/>
  <c r="H417" i="12"/>
  <c r="K417" i="12" s="1"/>
  <c r="H416" i="12"/>
  <c r="K416" i="12" s="1"/>
  <c r="H414" i="12"/>
  <c r="K414" i="12" s="1"/>
  <c r="H419" i="12"/>
  <c r="K419" i="12" s="1"/>
  <c r="H408" i="12"/>
  <c r="K408" i="12" s="1"/>
  <c r="H407" i="12"/>
  <c r="K407" i="12" s="1"/>
  <c r="H413" i="12"/>
  <c r="K413" i="12" s="1"/>
  <c r="A18" i="12" l="1"/>
  <c r="L410" i="12"/>
  <c r="E23" i="13" s="1"/>
  <c r="L424" i="12"/>
  <c r="E24" i="13" s="1"/>
  <c r="A19" i="12" l="1"/>
  <c r="H780" i="12"/>
  <c r="H785" i="12"/>
  <c r="K785" i="12" s="1"/>
  <c r="A20" i="12" l="1"/>
  <c r="H783" i="12"/>
  <c r="H784" i="12"/>
  <c r="H781" i="12"/>
  <c r="H782" i="12" s="1"/>
  <c r="K780" i="12"/>
  <c r="L798" i="12" s="1"/>
  <c r="E26" i="13" s="1"/>
  <c r="A21" i="12" l="1"/>
  <c r="A22" i="12"/>
  <c r="A24" i="12" s="1"/>
  <c r="A25" i="12" s="1"/>
  <c r="A26" i="12" s="1"/>
  <c r="A27" i="12" s="1"/>
  <c r="A28" i="12" s="1"/>
  <c r="H891" i="12"/>
  <c r="K891" i="12" s="1"/>
  <c r="A29" i="12" l="1"/>
  <c r="A31" i="12" s="1"/>
  <c r="A32" i="12" s="1"/>
  <c r="A33" i="12" s="1"/>
  <c r="A34" i="12" s="1"/>
  <c r="A35" i="12" s="1"/>
  <c r="A37" i="12" s="1"/>
  <c r="A38" i="12" s="1"/>
  <c r="A39" i="12" s="1"/>
  <c r="A40" i="12" s="1"/>
  <c r="A41" i="12" s="1"/>
  <c r="A45" i="12" s="1"/>
  <c r="A46" i="12" s="1"/>
  <c r="A47" i="12" s="1"/>
  <c r="A48" i="12" s="1"/>
  <c r="A51" i="12" s="1"/>
  <c r="A52" i="12" s="1"/>
  <c r="A53" i="12" s="1"/>
  <c r="A54" i="12" s="1"/>
  <c r="A57" i="12" s="1"/>
  <c r="A58" i="12" s="1"/>
  <c r="A59" i="12" s="1"/>
  <c r="A60" i="12" s="1"/>
  <c r="A63" i="12" s="1"/>
  <c r="A64" i="12" s="1"/>
  <c r="A65" i="12" s="1"/>
  <c r="A66" i="12" s="1"/>
  <c r="A68" i="12" s="1"/>
  <c r="A74" i="12" s="1"/>
  <c r="A75" i="12" s="1"/>
  <c r="A76" i="12" s="1"/>
  <c r="A77" i="12" s="1"/>
  <c r="A78" i="12" s="1"/>
  <c r="A79" i="12" s="1"/>
  <c r="A80" i="12" s="1"/>
  <c r="A81" i="12" s="1"/>
  <c r="A84" i="12" s="1"/>
  <c r="A85" i="12" s="1"/>
  <c r="A86" i="12" s="1"/>
  <c r="A87" i="12" s="1"/>
  <c r="A88" i="12" s="1"/>
  <c r="A89" i="12" s="1"/>
  <c r="A90" i="12" s="1"/>
  <c r="A91" i="12" s="1"/>
  <c r="A94" i="12" s="1"/>
  <c r="A95" i="12" s="1"/>
  <c r="A96" i="12" s="1"/>
  <c r="A97" i="12" s="1"/>
  <c r="A98" i="12" s="1"/>
  <c r="A99" i="12" s="1"/>
  <c r="A100" i="12" s="1"/>
  <c r="A103" i="12" s="1"/>
  <c r="A104" i="12" s="1"/>
  <c r="A105" i="12" s="1"/>
  <c r="A106" i="12" s="1"/>
  <c r="A107" i="12" s="1"/>
  <c r="A108" i="12" s="1"/>
  <c r="A109" i="12" s="1"/>
  <c r="A112" i="12" s="1"/>
  <c r="A113" i="12" s="1"/>
  <c r="A114" i="12" s="1"/>
  <c r="A115" i="12" s="1"/>
  <c r="A116" i="12" s="1"/>
  <c r="A117" i="12" s="1"/>
  <c r="A118" i="12" s="1"/>
  <c r="A121" i="12" s="1"/>
  <c r="A122" i="12" s="1"/>
  <c r="A123" i="12" s="1"/>
  <c r="A124" i="12" s="1"/>
  <c r="A125" i="12" s="1"/>
  <c r="A126" i="12" s="1"/>
  <c r="A127" i="12" s="1"/>
  <c r="A128" i="12" s="1"/>
  <c r="A131" i="12" s="1"/>
  <c r="A132" i="12" s="1"/>
  <c r="A133" i="12" s="1"/>
  <c r="A134" i="12" s="1"/>
  <c r="A135" i="12" s="1"/>
  <c r="A136" i="12" s="1"/>
  <c r="A137" i="12" s="1"/>
  <c r="A138" i="12" s="1"/>
  <c r="A142" i="12" s="1"/>
  <c r="A143" i="12" s="1"/>
  <c r="A144" i="12" s="1"/>
  <c r="A145" i="12" s="1"/>
  <c r="A146" i="12" s="1"/>
  <c r="A147" i="12" s="1"/>
  <c r="A148" i="12" s="1"/>
  <c r="A151" i="12" s="1"/>
  <c r="A152" i="12" s="1"/>
  <c r="A153" i="12" s="1"/>
  <c r="A154" i="12" s="1"/>
  <c r="A155" i="12" s="1"/>
  <c r="A156" i="12" s="1"/>
  <c r="A157" i="12" s="1"/>
  <c r="A160" i="12" s="1"/>
  <c r="A161" i="12" s="1"/>
  <c r="A162" i="12" s="1"/>
  <c r="A163" i="12" s="1"/>
  <c r="A164" i="12" s="1"/>
  <c r="A165" i="12" s="1"/>
  <c r="A166" i="12" s="1"/>
  <c r="A169" i="12" s="1"/>
  <c r="A170" i="12" s="1"/>
  <c r="A171" i="12" s="1"/>
  <c r="A172" i="12" s="1"/>
  <c r="A173" i="12" s="1"/>
  <c r="A174" i="12" s="1"/>
  <c r="A175" i="12" s="1"/>
  <c r="A178" i="12" s="1"/>
  <c r="A179" i="12" s="1"/>
  <c r="A180" i="12" s="1"/>
  <c r="A181" i="12" s="1"/>
  <c r="A182" i="12" s="1"/>
  <c r="A183" i="12" s="1"/>
  <c r="A184" i="12" s="1"/>
  <c r="A187" i="12" s="1"/>
  <c r="A188" i="12" s="1"/>
  <c r="A189" i="12" s="1"/>
  <c r="A190" i="12" s="1"/>
  <c r="A191" i="12" s="1"/>
  <c r="A192" i="12" s="1"/>
  <c r="A193" i="12" s="1"/>
  <c r="A196" i="12" s="1"/>
  <c r="A197" i="12" s="1"/>
  <c r="A198" i="12" s="1"/>
  <c r="A199" i="12" s="1"/>
  <c r="A200" i="12" s="1"/>
  <c r="A201" i="12" s="1"/>
  <c r="A202" i="12" s="1"/>
  <c r="A208" i="12" s="1"/>
  <c r="A209" i="12" s="1"/>
  <c r="A210" i="12" s="1"/>
  <c r="A211" i="12" s="1"/>
  <c r="A212" i="12" s="1"/>
  <c r="A213" i="12" s="1"/>
  <c r="A214" i="12" s="1"/>
  <c r="A215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32" i="12" s="1"/>
  <c r="A233" i="12" s="1"/>
  <c r="A234" i="12" s="1"/>
  <c r="A235" i="12" s="1"/>
  <c r="A236" i="12" s="1"/>
  <c r="A238" i="12" s="1"/>
  <c r="A239" i="12" s="1"/>
  <c r="A240" i="12" s="1"/>
  <c r="A245" i="12" s="1"/>
  <c r="A246" i="12" s="1"/>
  <c r="A247" i="12" s="1"/>
  <c r="A248" i="12" s="1"/>
  <c r="A249" i="12" s="1"/>
  <c r="A250" i="12" s="1"/>
  <c r="A251" i="12" s="1"/>
  <c r="A258" i="12" s="1"/>
  <c r="A259" i="12" s="1"/>
  <c r="A263" i="12" s="1"/>
  <c r="A264" i="12" s="1"/>
  <c r="A265" i="12" s="1"/>
  <c r="A266" i="12" s="1"/>
  <c r="A269" i="12" s="1"/>
  <c r="A270" i="12" s="1"/>
  <c r="A271" i="12" s="1"/>
  <c r="A272" i="12" s="1"/>
  <c r="A275" i="12" s="1"/>
  <c r="A276" i="12" s="1"/>
  <c r="A277" i="12" s="1"/>
  <c r="A278" i="12" s="1"/>
  <c r="A281" i="12" s="1"/>
  <c r="A282" i="12" s="1"/>
  <c r="A283" i="12" s="1"/>
  <c r="A284" i="12" s="1"/>
  <c r="A287" i="12" s="1"/>
  <c r="A288" i="12" s="1"/>
  <c r="A289" i="12" s="1"/>
  <c r="A290" i="12" s="1"/>
  <c r="A294" i="12" s="1"/>
  <c r="A295" i="12" s="1"/>
  <c r="A296" i="12" s="1"/>
  <c r="A297" i="12" s="1"/>
  <c r="A300" i="12" s="1"/>
  <c r="A301" i="12" s="1"/>
  <c r="A302" i="12" s="1"/>
  <c r="A303" i="12" s="1"/>
  <c r="A307" i="12" s="1"/>
  <c r="A308" i="12" s="1"/>
  <c r="A309" i="12" s="1"/>
  <c r="A310" i="12" s="1"/>
  <c r="A313" i="12" s="1"/>
  <c r="A314" i="12" s="1"/>
  <c r="A315" i="12" s="1"/>
  <c r="A316" i="12" s="1"/>
  <c r="A321" i="12" s="1"/>
  <c r="A326" i="12" s="1"/>
  <c r="A327" i="12" s="1"/>
  <c r="A328" i="12" s="1"/>
  <c r="A329" i="12" s="1"/>
  <c r="A336" i="12" s="1"/>
  <c r="A338" i="12" s="1"/>
  <c r="A339" i="12" s="1"/>
  <c r="A340" i="12" s="1"/>
  <c r="A341" i="12" s="1"/>
  <c r="A342" i="12" s="1"/>
  <c r="A344" i="12" s="1"/>
  <c r="A346" i="12" s="1"/>
  <c r="A347" i="12" s="1"/>
  <c r="A349" i="12" s="1"/>
  <c r="A350" i="12" s="1"/>
  <c r="A352" i="12" s="1"/>
  <c r="A353" i="12" s="1"/>
  <c r="A355" i="12" s="1"/>
  <c r="A356" i="12" s="1"/>
  <c r="A361" i="12" s="1"/>
  <c r="A366" i="12" s="1"/>
  <c r="A371" i="12" s="1"/>
  <c r="A372" i="12" s="1"/>
  <c r="A373" i="12" s="1"/>
  <c r="A379" i="12" s="1"/>
  <c r="A384" i="12" s="1"/>
  <c r="A389" i="12" s="1"/>
  <c r="A390" i="12" s="1"/>
  <c r="A395" i="12" s="1"/>
  <c r="A400" i="12" s="1"/>
  <c r="A401" i="12" s="1"/>
  <c r="A407" i="12" s="1"/>
  <c r="A408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3" i="12" s="1"/>
  <c r="A445" i="12" s="1"/>
  <c r="A448" i="12" s="1"/>
  <c r="A449" i="12" s="1"/>
  <c r="A450" i="12" s="1"/>
  <c r="A451" i="12" s="1"/>
  <c r="A452" i="12" s="1"/>
  <c r="A456" i="12" s="1"/>
  <c r="A457" i="12" s="1"/>
  <c r="A461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85" i="12" s="1"/>
  <c r="A490" i="12" s="1"/>
  <c r="A491" i="12" s="1"/>
  <c r="A494" i="12" s="1"/>
  <c r="A499" i="12" s="1"/>
  <c r="A500" i="12" s="1"/>
  <c r="A503" i="12" s="1"/>
  <c r="A508" i="12" s="1"/>
  <c r="A509" i="12" s="1"/>
  <c r="A512" i="12" s="1"/>
  <c r="A517" i="12" s="1"/>
  <c r="A518" i="12" s="1"/>
  <c r="A522" i="12" s="1"/>
  <c r="A523" i="12" s="1"/>
  <c r="A528" i="12" s="1"/>
  <c r="A529" i="12" s="1"/>
  <c r="A532" i="12" s="1"/>
  <c r="A537" i="12" s="1"/>
  <c r="A538" i="12" s="1"/>
  <c r="A541" i="12" s="1"/>
  <c r="A542" i="12" s="1"/>
  <c r="A547" i="12" s="1"/>
  <c r="A548" i="12" s="1"/>
  <c r="A551" i="12" s="1"/>
  <c r="A552" i="12" s="1"/>
  <c r="A557" i="12" s="1"/>
  <c r="A558" i="12" s="1"/>
  <c r="A561" i="12" s="1"/>
  <c r="A566" i="12" s="1"/>
  <c r="A567" i="12" s="1"/>
  <c r="A568" i="12" s="1"/>
  <c r="A571" i="12" s="1"/>
  <c r="A576" i="12" s="1"/>
  <c r="A577" i="12" s="1"/>
  <c r="A578" i="12" s="1"/>
  <c r="A581" i="12" s="1"/>
  <c r="A582" i="12" s="1"/>
  <c r="A587" i="12" s="1"/>
  <c r="A588" i="12" s="1"/>
  <c r="A589" i="12" s="1"/>
  <c r="A592" i="12" s="1"/>
  <c r="A597" i="12" s="1"/>
  <c r="A598" i="12" s="1"/>
  <c r="A599" i="12" s="1"/>
  <c r="A600" i="12" s="1"/>
  <c r="A601" i="12" s="1"/>
  <c r="A604" i="12" s="1"/>
  <c r="A609" i="12" s="1"/>
  <c r="A610" i="12" s="1"/>
  <c r="A611" i="12" s="1"/>
  <c r="A612" i="12" s="1"/>
  <c r="A613" i="12" s="1"/>
  <c r="A616" i="12" s="1"/>
  <c r="A621" i="12" s="1"/>
  <c r="A622" i="12" s="1"/>
  <c r="A623" i="12" s="1"/>
  <c r="A624" i="12" s="1"/>
  <c r="A625" i="12" s="1"/>
  <c r="A628" i="12" s="1"/>
  <c r="A633" i="12" s="1"/>
  <c r="A634" i="12" s="1"/>
  <c r="A637" i="12" s="1"/>
  <c r="A642" i="12" s="1"/>
  <c r="A643" i="12" s="1"/>
  <c r="A646" i="12" s="1"/>
  <c r="A651" i="12" s="1"/>
  <c r="A652" i="12" s="1"/>
  <c r="A656" i="12" s="1"/>
  <c r="A657" i="12" s="1"/>
  <c r="A662" i="12" s="1"/>
  <c r="A663" i="12" s="1"/>
  <c r="A666" i="12" s="1"/>
  <c r="A671" i="12" s="1"/>
  <c r="A672" i="12" s="1"/>
  <c r="A675" i="12" s="1"/>
  <c r="A676" i="12" s="1"/>
  <c r="A681" i="12" s="1"/>
  <c r="A682" i="12" s="1"/>
  <c r="A685" i="12" s="1"/>
  <c r="A686" i="12" s="1"/>
  <c r="A691" i="12" s="1"/>
  <c r="A692" i="12" s="1"/>
  <c r="A695" i="12" s="1"/>
  <c r="A700" i="12" s="1"/>
  <c r="A701" i="12" s="1"/>
  <c r="A702" i="12" s="1"/>
  <c r="A705" i="12" s="1"/>
  <c r="A710" i="12" s="1"/>
  <c r="A711" i="12" s="1"/>
  <c r="A712" i="12" s="1"/>
  <c r="A715" i="12" s="1"/>
  <c r="A716" i="12" s="1"/>
  <c r="A721" i="12" s="1"/>
  <c r="A722" i="12" s="1"/>
  <c r="A723" i="12" s="1"/>
  <c r="A726" i="12" s="1"/>
  <c r="A731" i="12" s="1"/>
  <c r="A732" i="12" s="1"/>
  <c r="A733" i="12" s="1"/>
  <c r="A734" i="12" s="1"/>
  <c r="A735" i="12" s="1"/>
  <c r="A738" i="12" s="1"/>
  <c r="A743" i="12" s="1"/>
  <c r="A744" i="12" s="1"/>
  <c r="A745" i="12" s="1"/>
  <c r="A746" i="12" s="1"/>
  <c r="A747" i="12" s="1"/>
  <c r="A750" i="12" s="1"/>
  <c r="A755" i="12" s="1"/>
  <c r="A756" i="12" s="1"/>
  <c r="A757" i="12" s="1"/>
  <c r="A758" i="12" s="1"/>
  <c r="A759" i="12" s="1"/>
  <c r="A762" i="12" s="1"/>
  <c r="A767" i="12" s="1"/>
  <c r="A768" i="12" s="1"/>
  <c r="A771" i="12" s="1"/>
  <c r="A776" i="12" s="1"/>
  <c r="A777" i="12" s="1"/>
  <c r="A780" i="12" s="1"/>
  <c r="A785" i="12" s="1"/>
  <c r="A786" i="12" s="1"/>
  <c r="A790" i="12" s="1"/>
  <c r="A795" i="12" s="1"/>
  <c r="A796" i="12" s="1"/>
  <c r="A801" i="12" s="1"/>
  <c r="A802" i="12" s="1"/>
  <c r="A803" i="12" s="1"/>
  <c r="A804" i="12" s="1"/>
  <c r="A809" i="12" s="1"/>
  <c r="A814" i="12" s="1"/>
  <c r="A815" i="12" s="1"/>
  <c r="A816" i="12" s="1"/>
  <c r="A817" i="12" s="1"/>
  <c r="A818" i="12" s="1"/>
  <c r="A823" i="12" s="1"/>
  <c r="A828" i="12" s="1"/>
  <c r="A833" i="12" s="1"/>
  <c r="A838" i="12" s="1"/>
  <c r="A843" i="12" s="1"/>
  <c r="A848" i="12" s="1"/>
  <c r="A853" i="12" s="1"/>
  <c r="A858" i="12" s="1"/>
  <c r="A859" i="12" s="1"/>
  <c r="A860" i="12" s="1"/>
  <c r="A866" i="12" s="1"/>
  <c r="A867" i="12" s="1"/>
  <c r="A869" i="12" s="1"/>
  <c r="A870" i="12" s="1"/>
  <c r="A872" i="12" s="1"/>
  <c r="A873" i="12" s="1"/>
  <c r="A875" i="12" s="1"/>
  <c r="A877" i="12" s="1"/>
  <c r="A878" i="12" s="1"/>
  <c r="A883" i="12" s="1"/>
  <c r="A888" i="12" s="1"/>
  <c r="A889" i="12" s="1"/>
  <c r="A890" i="12" s="1"/>
  <c r="A891" i="12" s="1"/>
  <c r="A897" i="12" s="1"/>
  <c r="A898" i="12" s="1"/>
  <c r="A899" i="12" s="1"/>
  <c r="A900" i="12" s="1"/>
  <c r="A901" i="12" s="1"/>
  <c r="A902" i="12" s="1"/>
  <c r="A907" i="12" s="1"/>
  <c r="A912" i="12" s="1"/>
  <c r="A913" i="12" s="1"/>
  <c r="A914" i="12" s="1"/>
  <c r="A915" i="12" s="1"/>
  <c r="A916" i="12" s="1"/>
  <c r="A921" i="12" s="1"/>
  <c r="A927" i="12" s="1"/>
  <c r="A928" i="12" s="1"/>
  <c r="A929" i="12" s="1"/>
  <c r="A930" i="12" s="1"/>
  <c r="A931" i="12" s="1"/>
  <c r="A932" i="12" s="1"/>
  <c r="A939" i="12" s="1"/>
  <c r="A940" i="12" s="1"/>
  <c r="A942" i="12" s="1"/>
  <c r="A943" i="12" s="1"/>
  <c r="A945" i="12" s="1"/>
  <c r="A947" i="12" s="1"/>
  <c r="A948" i="12" s="1"/>
  <c r="A949" i="12" s="1"/>
  <c r="A955" i="12" s="1"/>
  <c r="A960" i="12" s="1"/>
  <c r="K964" i="12"/>
  <c r="L893" i="12"/>
  <c r="E40" i="13" s="1"/>
  <c r="E56" i="13" s="1"/>
  <c r="E57" i="13" l="1"/>
  <c r="E58" i="13" s="1"/>
  <c r="L964" i="12"/>
  <c r="K965" i="12" l="1"/>
  <c r="K966" i="12" s="1"/>
  <c r="L965" i="12" l="1"/>
  <c r="L966" i="12" l="1"/>
  <c r="C5" i="12" s="1"/>
</calcChain>
</file>

<file path=xl/sharedStrings.xml><?xml version="1.0" encoding="utf-8"?>
<sst xmlns="http://schemas.openxmlformats.org/spreadsheetml/2006/main" count="4255" uniqueCount="1060">
  <si>
    <t>UNIT</t>
  </si>
  <si>
    <t>DESCRIPTION</t>
  </si>
  <si>
    <t>TOTAL BASE BID</t>
  </si>
  <si>
    <t>WASTE</t>
  </si>
  <si>
    <t>QTY. W/ WASTE</t>
  </si>
  <si>
    <t>TOTAL COST</t>
  </si>
  <si>
    <t>PROJECT</t>
  </si>
  <si>
    <t>ADDRESS</t>
  </si>
  <si>
    <t>Date of submission</t>
  </si>
  <si>
    <t>Date of plans</t>
  </si>
  <si>
    <t>SR #</t>
  </si>
  <si>
    <t>SUB TOTALS</t>
  </si>
  <si>
    <t>SUB - TOTAL</t>
  </si>
  <si>
    <t>LF</t>
  </si>
  <si>
    <t>Sheet
No.</t>
  </si>
  <si>
    <t>Detail
No.</t>
  </si>
  <si>
    <t>SF</t>
  </si>
  <si>
    <t>CSI
No.</t>
  </si>
  <si>
    <t>EA</t>
  </si>
  <si>
    <t>09 00 00</t>
  </si>
  <si>
    <t>FINISHES</t>
  </si>
  <si>
    <t>Note: Please Refer to next tabs for detailed estimates.</t>
  </si>
  <si>
    <t xml:space="preserve">4'x8' GB Sheet </t>
  </si>
  <si>
    <t>Sheets</t>
  </si>
  <si>
    <t>500' Tape Roll</t>
  </si>
  <si>
    <t>Rolls</t>
  </si>
  <si>
    <t>Joint Compound</t>
  </si>
  <si>
    <t>Gallons</t>
  </si>
  <si>
    <t>1-1/4" Drywall Screws</t>
  </si>
  <si>
    <t>Pounds</t>
  </si>
  <si>
    <t>DRYWALL ASSEMBLIES</t>
  </si>
  <si>
    <t>Drywall Assemblies Sub Total</t>
  </si>
  <si>
    <t>GWB CEILING</t>
  </si>
  <si>
    <t>GWB Ceiling Sub Total</t>
  </si>
  <si>
    <t>OVER HEAD &amp; PROFIT</t>
  </si>
  <si>
    <t xml:space="preserve">TOTAL BASE BID </t>
  </si>
  <si>
    <t xml:space="preserve">TOTAL </t>
  </si>
  <si>
    <t>OVERHEAD AND PROFIT</t>
  </si>
  <si>
    <t>QTY.</t>
  </si>
  <si>
    <t>2x Misc. Blocking</t>
  </si>
  <si>
    <t>04 00 00</t>
  </si>
  <si>
    <t>MASNORY</t>
  </si>
  <si>
    <t>07 00 00</t>
  </si>
  <si>
    <t>THERMAL &amp; MOISTURE PROTECTION</t>
  </si>
  <si>
    <t>ROOF ACCESSORIES</t>
  </si>
  <si>
    <t>01 00 00</t>
  </si>
  <si>
    <t>GENERAL REQUIREMENTS</t>
  </si>
  <si>
    <t xml:space="preserve">General Requirements
 - Mobilization
- Permits
- Project Supervision
- Cleaning
- Insurance
- Submittals
- Shop Drawings
- Temporary Facilites
- Protection </t>
  </si>
  <si>
    <t>LS</t>
  </si>
  <si>
    <t>General Requirements Sub Total</t>
  </si>
  <si>
    <t>Scaffolding</t>
  </si>
  <si>
    <t>BATHROOM ACCESSORIES</t>
  </si>
  <si>
    <t>Bathroom Accessories Sub Total</t>
  </si>
  <si>
    <t>SPECIALITIES</t>
  </si>
  <si>
    <t>06 00 00</t>
  </si>
  <si>
    <t>LUMBER FRAMING</t>
  </si>
  <si>
    <t>Lumber Framing Sub Total</t>
  </si>
  <si>
    <t>BLOCKING</t>
  </si>
  <si>
    <t>Blocking Sub Total</t>
  </si>
  <si>
    <t>WOOD, PLASTICS &amp; COMPOSITES</t>
  </si>
  <si>
    <t>10 00 00</t>
  </si>
  <si>
    <t>11 00 00</t>
  </si>
  <si>
    <t>APPLIANCES</t>
  </si>
  <si>
    <t>Appliances Sub Total</t>
  </si>
  <si>
    <t>EQUIPMENTS</t>
  </si>
  <si>
    <t>Painting</t>
  </si>
  <si>
    <t>Roof Accessories</t>
  </si>
  <si>
    <t>Roof Accessories Sub Total</t>
  </si>
  <si>
    <t>UNIT COST</t>
  </si>
  <si>
    <t>12 00 00</t>
  </si>
  <si>
    <t>FURNISHINGS</t>
  </si>
  <si>
    <t>COUNTERTOP</t>
  </si>
  <si>
    <t>EXTERIOR SOFFIT</t>
  </si>
  <si>
    <t>Exterior Soffit Sub Total</t>
  </si>
  <si>
    <t>BASE &amp; UPPER CABINETS</t>
  </si>
  <si>
    <t>2'-0" Deep Base Cabinet</t>
  </si>
  <si>
    <t>1'-0" Deep Upper Cabinet</t>
  </si>
  <si>
    <t>1'-0" Deep Closet Shelves W/ Rod</t>
  </si>
  <si>
    <t>REV(0)</t>
  </si>
  <si>
    <t>ROOF</t>
  </si>
  <si>
    <t>SHELVES</t>
  </si>
  <si>
    <t>1'-2" Deep W.I.C Shelves W/ Rod</t>
  </si>
  <si>
    <t>MILLWORK</t>
  </si>
  <si>
    <t>Millwork Sub Total</t>
  </si>
  <si>
    <t xml:space="preserve">Countertop @ Kitchen W/
- 4" Backsplash </t>
  </si>
  <si>
    <t xml:space="preserve">Countertop @ Baths W/
- 4" Backsplash </t>
  </si>
  <si>
    <t>1'-10" Deep Vanity Cabinet</t>
  </si>
  <si>
    <t>VANITY CABINETS</t>
  </si>
  <si>
    <t>A100-A101</t>
  </si>
  <si>
    <t>UNIT MASNORY</t>
  </si>
  <si>
    <t>Unit Masnory Sub Total</t>
  </si>
  <si>
    <t>1 Layer of 5/8" Gypsum Board On Both Sides of Wall</t>
  </si>
  <si>
    <t>WALL TYPE - 1</t>
  </si>
  <si>
    <t>1 Layer of 5/8" Moisture Resistant Gypsum Board</t>
  </si>
  <si>
    <t xml:space="preserve">Acoustical Sealant @ Top &amp; Bottom </t>
  </si>
  <si>
    <t>Partition Types/T104</t>
  </si>
  <si>
    <t>WALL TYPE - 1B</t>
  </si>
  <si>
    <t>1 Layer of 5/8" Gypsum Board On One Side of Wall</t>
  </si>
  <si>
    <t>WALL TYPE - 1C</t>
  </si>
  <si>
    <t>3-1/2" Batt Insulation</t>
  </si>
  <si>
    <t>5-1/2" Batt Insulation</t>
  </si>
  <si>
    <t>1 Layer of 5/8" Type"X" Gypsum Board On Both Sides of Wall</t>
  </si>
  <si>
    <t>3" Thermafiber Sound Attenuation Fire Blanket</t>
  </si>
  <si>
    <t>1/2" Resilient Channels</t>
  </si>
  <si>
    <t>1 Layer of 5/8" Type"X" Gypsum Board On One Side of Wall</t>
  </si>
  <si>
    <t>WALL TYPE - 2 (1 HR RATED UL# U327)</t>
  </si>
  <si>
    <t>WALL TYPE - 2A (1 HR RATED UL# U415)</t>
  </si>
  <si>
    <t>WALL TYPE - 2B (1 HR RATED 55 STC)</t>
  </si>
  <si>
    <t>WALL TYPE - 3 (1 HR RATED UL# U327)</t>
  </si>
  <si>
    <t>WALL TYPE - 5 (1 HR RATED UL# U415)</t>
  </si>
  <si>
    <t>1" Fire-Shield Shaft Liner</t>
  </si>
  <si>
    <t>(2) Layers of 5/8" Type"SCX" Gypsum Board On One Side of Wall</t>
  </si>
  <si>
    <t>2-1/2" "C-H" Studs @ 24" O.C.</t>
  </si>
  <si>
    <t>"J" Shaped Metal Runners @ Top &amp; Bottom</t>
  </si>
  <si>
    <t>WALL TYPE - 6 (1 HR RATED UL# U415)</t>
  </si>
  <si>
    <t>(2) Layers of 5/8" Type"X" Gypsum Board On One Side of Wall</t>
  </si>
  <si>
    <t>WALL TYPE - 6A (1 HR RATED UL# U415)</t>
  </si>
  <si>
    <t>WALL TYPE - 7 (1 HR RATED UL# U905)</t>
  </si>
  <si>
    <t>8" Bond Beam</t>
  </si>
  <si>
    <t>WALL TYPE - 9 (1 HR RATED UL# U905)</t>
  </si>
  <si>
    <t>WALL TYPE - 9A (1 HR RATED UL# U905)</t>
  </si>
  <si>
    <t>6" Bond Beam</t>
  </si>
  <si>
    <t>WALL TYPE - 11 (1 HR RATED UL# U905)</t>
  </si>
  <si>
    <t>3/4" Wood Furring</t>
  </si>
  <si>
    <t>WALL TYPE - 12 (1 HR RATED UL# U905)</t>
  </si>
  <si>
    <t>1" Wood Furring</t>
  </si>
  <si>
    <t>EXTERIOR CMU FURRING WALL (1 HR RATED UL# U303)</t>
  </si>
  <si>
    <t>1/2" Wood Furring</t>
  </si>
  <si>
    <t>EXTERIOR WALL (1 HR RATED UL# U303)</t>
  </si>
  <si>
    <t>5-1/2" Open Cell Spray Cavity Insulation (R-20)</t>
  </si>
  <si>
    <r>
      <rPr>
        <b/>
        <sz val="12"/>
        <rFont val="Calibri"/>
        <family val="2"/>
        <scheme val="minor"/>
      </rPr>
      <t>Floor/Ceiling Assembly FC-1 As;</t>
    </r>
    <r>
      <rPr>
        <sz val="12"/>
        <rFont val="Calibri"/>
        <family val="2"/>
        <scheme val="minor"/>
      </rPr>
      <t xml:space="preserve">
- 1 Layer of 5/8" Type"C" Gypsum Board Panels
- 1/2" RC-1 Channels @ 12" O.C.
- 3-1/2" Fiberglass Insulation</t>
    </r>
  </si>
  <si>
    <t>Assemblies/T104</t>
  </si>
  <si>
    <t>A-110</t>
  </si>
  <si>
    <t>Hardie Soffit Beaded Porch Panel Ceiling</t>
  </si>
  <si>
    <t>PAINTING</t>
  </si>
  <si>
    <t>Paint On Walls</t>
  </si>
  <si>
    <t>Paint On Ceilings</t>
  </si>
  <si>
    <t>Paint On Single Panel Doors</t>
  </si>
  <si>
    <t>Paint On Double Panel Doors</t>
  </si>
  <si>
    <t>Painting Sub Total</t>
  </si>
  <si>
    <t>FIRST FLOOR</t>
  </si>
  <si>
    <t>SECOND FLOOR</t>
  </si>
  <si>
    <t>1 Layer of 5/8" Type"X" Moisture Resistant Gypsum Board</t>
  </si>
  <si>
    <t>THIRD FLOOR</t>
  </si>
  <si>
    <t>6" Continuous Gutter</t>
  </si>
  <si>
    <t>Cant Strip Flashing</t>
  </si>
  <si>
    <t>Flashing @ Parapet Wall</t>
  </si>
  <si>
    <t>Metal Coping</t>
  </si>
  <si>
    <t>Scupper &amp; Splashblock</t>
  </si>
  <si>
    <t>Leader</t>
  </si>
  <si>
    <t>TPO ROOFING</t>
  </si>
  <si>
    <t>TPO Roofing Sub Total</t>
  </si>
  <si>
    <r>
      <rPr>
        <b/>
        <sz val="12"/>
        <rFont val="Calibri"/>
        <family val="2"/>
        <scheme val="minor"/>
      </rPr>
      <t>Roof/Ceiling Assembly RC-1 As;</t>
    </r>
    <r>
      <rPr>
        <sz val="12"/>
        <rFont val="Calibri"/>
        <family val="2"/>
        <scheme val="minor"/>
      </rPr>
      <t xml:space="preserve">
- 1 Layer of 5/8" Type"C" Gypsum Board Panels
- 1/2" RC-1 Channels @ 12" O.C.</t>
    </r>
  </si>
  <si>
    <r>
      <rPr>
        <b/>
        <sz val="12"/>
        <rFont val="Calibri"/>
        <family val="2"/>
        <scheme val="minor"/>
      </rPr>
      <t>Class B Roof Assembly As;</t>
    </r>
    <r>
      <rPr>
        <sz val="12"/>
        <rFont val="Calibri"/>
        <family val="2"/>
        <scheme val="minor"/>
      </rPr>
      <t xml:space="preserve">
TPO Roof Membrane
- Open Cell Spray Foam Cavity Insulation (R-30)</t>
    </r>
  </si>
  <si>
    <t>TPO Roof Membrane @ Parapet</t>
  </si>
  <si>
    <t>A-101</t>
  </si>
  <si>
    <t>Details/A400</t>
  </si>
  <si>
    <t>Plan Notes</t>
  </si>
  <si>
    <t>Detail 1/A500</t>
  </si>
  <si>
    <t>Thru Wall Flashing</t>
  </si>
  <si>
    <r>
      <rPr>
        <b/>
        <sz val="12"/>
        <rFont val="Calibri"/>
        <family val="2"/>
        <scheme val="minor"/>
      </rPr>
      <t>Wood Guardrails 3'-0"H</t>
    </r>
    <r>
      <rPr>
        <sz val="12"/>
        <rFont val="Calibri"/>
        <family val="2"/>
        <scheme val="minor"/>
      </rPr>
      <t xml:space="preserve">
- 1-1/2" Dia. Wood Guardrails to be Painted
- Typical 3/8" Dia. Wood Baluster</t>
    </r>
  </si>
  <si>
    <r>
      <rPr>
        <b/>
        <sz val="12"/>
        <rFont val="Calibri"/>
        <family val="2"/>
        <scheme val="minor"/>
      </rPr>
      <t>Wood Handrails</t>
    </r>
    <r>
      <rPr>
        <sz val="12"/>
        <rFont val="Calibri"/>
        <family val="2"/>
        <scheme val="minor"/>
      </rPr>
      <t xml:space="preserve">
- 1-1/2" Dia. Wood Handrails to be Painted</t>
    </r>
  </si>
  <si>
    <t>Details/A411</t>
  </si>
  <si>
    <t>A-410</t>
  </si>
  <si>
    <r>
      <rPr>
        <b/>
        <sz val="12"/>
        <rFont val="Calibri"/>
        <family val="2"/>
        <scheme val="minor"/>
      </rPr>
      <t>Ceiling Assembly @ Stairs Within Garage Space As;</t>
    </r>
    <r>
      <rPr>
        <sz val="12"/>
        <rFont val="Calibri"/>
        <family val="2"/>
        <scheme val="minor"/>
      </rPr>
      <t xml:space="preserve">
- (2) Layers of 5/8" Type"X" Gypsum Board</t>
    </r>
  </si>
  <si>
    <r>
      <rPr>
        <b/>
        <sz val="12"/>
        <rFont val="Calibri"/>
        <family val="2"/>
        <scheme val="minor"/>
      </rPr>
      <t>Ceiling Assembly @ Stairs As;</t>
    </r>
    <r>
      <rPr>
        <sz val="12"/>
        <rFont val="Calibri"/>
        <family val="2"/>
        <scheme val="minor"/>
      </rPr>
      <t xml:space="preserve">
- 1 Layer of 5/8" Type"X" Gypsum Board</t>
    </r>
  </si>
  <si>
    <t>8" CMU Wall W/
- #4 @ 48" O.C. &amp; Ladder Type Joint Reinf. @ 16" O.C.
- Fill All Cells Solid</t>
  </si>
  <si>
    <t>Compressible Filler</t>
  </si>
  <si>
    <t>8" CMU Wall W/
- #4 @ 48" O.C. &amp; Ladder Type Joint Reinf. @ 16" O.C.</t>
  </si>
  <si>
    <t>6" CMU Wall W/
- #4 @ 48" O.C. &amp; Ladder Type Joint Reinf. @ 16" O.C.</t>
  </si>
  <si>
    <t>Project Name</t>
  </si>
  <si>
    <t>Address</t>
  </si>
  <si>
    <t>Sr#</t>
  </si>
  <si>
    <t>Description</t>
  </si>
  <si>
    <t>Unit</t>
  </si>
  <si>
    <t>Labor Unit Cost</t>
  </si>
  <si>
    <t>Material Unit Cost</t>
  </si>
  <si>
    <t>Total Labor Cost</t>
  </si>
  <si>
    <t>Total Material Cost</t>
  </si>
  <si>
    <t>Total Cost</t>
  </si>
  <si>
    <t>Remarks</t>
  </si>
  <si>
    <t>Sub Floor Framing@ 2nd Floor:</t>
  </si>
  <si>
    <t>2x6x16' #2 DFL pt</t>
  </si>
  <si>
    <t>Sill Plate 1-3,6,7,8/S300</t>
  </si>
  <si>
    <t>2x4x16' #2 DFL</t>
  </si>
  <si>
    <t>Blocking/Nailer 5/S300</t>
  </si>
  <si>
    <t>2x6x16' #2 DFL</t>
  </si>
  <si>
    <t>Blocking/Nailer 1-4,8/S300</t>
  </si>
  <si>
    <t>2x8x16' #2 DFL</t>
  </si>
  <si>
    <t>Blocking/Nailer 5,8,10/S300</t>
  </si>
  <si>
    <t xml:space="preserve">2x12x8' #2 DFL </t>
  </si>
  <si>
    <t>Joists @ 16"OC.</t>
  </si>
  <si>
    <t xml:space="preserve">2x12x10' #2 DFL </t>
  </si>
  <si>
    <t>3-1/2"x11-1/4" LVL (3/16')</t>
  </si>
  <si>
    <t>LVL Ledger 9/S201</t>
  </si>
  <si>
    <t>5-1/4"x5-1/4" PSL 10'H</t>
  </si>
  <si>
    <t>Posts</t>
  </si>
  <si>
    <t>3/4" T&amp;G Stud-I-Floor Exposure I Sheathing 4x8</t>
  </si>
  <si>
    <t>Floor Sheathing</t>
  </si>
  <si>
    <t>29oz Adhesive</t>
  </si>
  <si>
    <t>Adhesive</t>
  </si>
  <si>
    <t>Exterior Wall Framing@ 2nd Floor: (277 LF)</t>
  </si>
  <si>
    <t>Bottom Plate</t>
  </si>
  <si>
    <t>2x6x116-5/8" #2 DFL</t>
  </si>
  <si>
    <t>Wall Studs @ 16" OC.</t>
  </si>
  <si>
    <t>Top plate &amp; Mid Span Blocking</t>
  </si>
  <si>
    <t>5/8" Exterior Grade Plywood 4x8</t>
  </si>
  <si>
    <t>Sheathing @ Exterior Wall</t>
  </si>
  <si>
    <t>10'x125' Tyvek</t>
  </si>
  <si>
    <t>Building Wrap</t>
  </si>
  <si>
    <t>2"x165' Tyvek Tape</t>
  </si>
  <si>
    <t>Wrap Tape</t>
  </si>
  <si>
    <t>Interior Wall Framing@ 2nd Floor: (676 LF)</t>
  </si>
  <si>
    <t>2x4x116-5/8" #2 DFL</t>
  </si>
  <si>
    <t>Wall Studs @ 16" OC. &amp; 24"O.C.</t>
  </si>
  <si>
    <t>5/8" Plywood 4x8</t>
  </si>
  <si>
    <t>Sheathing @ Shear Wall</t>
  </si>
  <si>
    <t>Furring Wall Framing@ 2nd Floor: (19 LF)</t>
  </si>
  <si>
    <t>Exterior Headers@ 2nd Floor:</t>
  </si>
  <si>
    <t xml:space="preserve">2x10x16' #2 DFL </t>
  </si>
  <si>
    <t>Headers/Beams @ Openings</t>
  </si>
  <si>
    <t>5-1/4"x9-1/4"PSL (2/10')</t>
  </si>
  <si>
    <t>PSL Beam/Headers</t>
  </si>
  <si>
    <t>2-1/2" Plywood 4x8</t>
  </si>
  <si>
    <t>Plywood Spacers</t>
  </si>
  <si>
    <t>Interior Headers/Beams@ 2nd Floor:</t>
  </si>
  <si>
    <t>5-1/4"x9-1/4"PSL (1/8')</t>
  </si>
  <si>
    <t>Sub Floor Framing@ 3rd Floor:</t>
  </si>
  <si>
    <t>Sill Plate 1-3/S301</t>
  </si>
  <si>
    <t>Blocking/Nailer 3/S301</t>
  </si>
  <si>
    <t>1-1/2"x20" LSL (20/16')</t>
  </si>
  <si>
    <t>Rimboard 1-2/S301</t>
  </si>
  <si>
    <t>LVL Ledger 9,8/S201</t>
  </si>
  <si>
    <t>Exterior Wall Framing@ 3rd Floor: (277 LF)</t>
  </si>
  <si>
    <t>Interior Wall Framing@ 3rd Floor: (676 LF)</t>
  </si>
  <si>
    <t>Furring Wall Framing@ 3rd Floor: (19 LF)</t>
  </si>
  <si>
    <t>Parapet/Roof Wall Framing: (324 LF)</t>
  </si>
  <si>
    <t>2x6x92-5/8" #2 DFL</t>
  </si>
  <si>
    <t>2x6x12' #2 DFL</t>
  </si>
  <si>
    <t>Top plate</t>
  </si>
  <si>
    <t>2x12x16' #2 DFL</t>
  </si>
  <si>
    <t>Exterior Headers@ 3rd Floor:</t>
  </si>
  <si>
    <t>Interior Headers/Beams@ 3rd Floor:</t>
  </si>
  <si>
    <t>Roof Framing:</t>
  </si>
  <si>
    <t>Sill Plate/Blocking 3,7/S301</t>
  </si>
  <si>
    <t>Bulkhead Roof Framing:</t>
  </si>
  <si>
    <t xml:space="preserve">2x6x16' #2 DFL </t>
  </si>
  <si>
    <t>Blocking 10/S301</t>
  </si>
  <si>
    <t>2x10x16' #2 DFL pt</t>
  </si>
  <si>
    <t>Ledger 10,11/S301</t>
  </si>
  <si>
    <t>2x10x16' #2 DFL</t>
  </si>
  <si>
    <t>Blocking/Rimboard 9/S301</t>
  </si>
  <si>
    <t>3-1/2"x11-1/4" LVL (2/16')</t>
  </si>
  <si>
    <t>LVL Ledger 10,11/S301</t>
  </si>
  <si>
    <t xml:space="preserve">2x10x8' #2 DFL </t>
  </si>
  <si>
    <t xml:space="preserve">2x10x10' #2 DFL </t>
  </si>
  <si>
    <t>Roof Decking:</t>
  </si>
  <si>
    <t>3/4" Exterior Grade Plywood 4x8</t>
  </si>
  <si>
    <t>Roof Sheathing</t>
  </si>
  <si>
    <t>Ply Clips</t>
  </si>
  <si>
    <t>Stair Framing:</t>
  </si>
  <si>
    <t>Beam/Ledger</t>
  </si>
  <si>
    <t xml:space="preserve">2x12x16' #2 DFL </t>
  </si>
  <si>
    <t>Stringer</t>
  </si>
  <si>
    <t>Landing Joists</t>
  </si>
  <si>
    <t>6-7/8" Riser</t>
  </si>
  <si>
    <t>Risers</t>
  </si>
  <si>
    <t>6-1/2" Riser</t>
  </si>
  <si>
    <t>11" Tread</t>
  </si>
  <si>
    <t>Treads</t>
  </si>
  <si>
    <t>Simpson Hardwares:</t>
  </si>
  <si>
    <t>Simpson HUS210 Hanger</t>
  </si>
  <si>
    <t>10/S301</t>
  </si>
  <si>
    <t>Simpson A21</t>
  </si>
  <si>
    <t>Header Connection</t>
  </si>
  <si>
    <t>Simpson LSTA9</t>
  </si>
  <si>
    <t>Simpson LB212AZ Top Flange</t>
  </si>
  <si>
    <t>Joists Hanger</t>
  </si>
  <si>
    <t>Simpson MSTCM60 Strap x4'-0"</t>
  </si>
  <si>
    <t>Holdown</t>
  </si>
  <si>
    <t>Simpson CMSTC16 Strap x3'-6"</t>
  </si>
  <si>
    <t>1/2" Dia Bolts W/ Washer</t>
  </si>
  <si>
    <t>4,5/S300</t>
  </si>
  <si>
    <t>5/8" Dia Threaded Rods in
Hilti Hit-HY 270 Adhesive, 4-1/2" Embed</t>
  </si>
  <si>
    <t>2-3/S300 &amp; 10,11/S301</t>
  </si>
  <si>
    <t>5/8" Dia Threaded Rods in
Hilti Hit-HY 270 Adhesive, 5-5/8" Embed</t>
  </si>
  <si>
    <t>9,8/S201 &amp; 10,11/S301</t>
  </si>
  <si>
    <t>1/2" Dia x4-1/2" Hilti Kwik Bolts TZ</t>
  </si>
  <si>
    <t>4/S300</t>
  </si>
  <si>
    <t>1/2" Dia F1554 GR. 36 Headed Anchor Rods</t>
  </si>
  <si>
    <t>2/SW Schedule</t>
  </si>
  <si>
    <t>Simpson SP1</t>
  </si>
  <si>
    <t>9/SW Schedule</t>
  </si>
  <si>
    <t>Simpson CS16 Strap x3'-6"</t>
  </si>
  <si>
    <t>15/SW Schedule</t>
  </si>
  <si>
    <t>Total Material</t>
  </si>
  <si>
    <t>Total Labor</t>
  </si>
  <si>
    <t>TRUSSES</t>
  </si>
  <si>
    <t>Floor Trusses:</t>
  </si>
  <si>
    <t>20" WD Truss 2' Long</t>
  </si>
  <si>
    <t>Trusses @ 16"OC.</t>
  </si>
  <si>
    <t>20" WD Truss 4' Long</t>
  </si>
  <si>
    <t>20" WD Truss 6' Long</t>
  </si>
  <si>
    <t>20" WD Truss 8' Long</t>
  </si>
  <si>
    <t>20" WD Truss 10' Long</t>
  </si>
  <si>
    <t>20" WD Truss 12' Long</t>
  </si>
  <si>
    <t>20" WD Truss 16' Long</t>
  </si>
  <si>
    <t>20" WD Truss 18' Long</t>
  </si>
  <si>
    <t>20" WD Truss 20' Long</t>
  </si>
  <si>
    <t>20" WD Truss 22' Long</t>
  </si>
  <si>
    <t>20" WD Truss 24' Long</t>
  </si>
  <si>
    <t>20" WD Truss 26' Long</t>
  </si>
  <si>
    <t>20" WD Truss 28' Long</t>
  </si>
  <si>
    <t>Girder Truss 4' Long</t>
  </si>
  <si>
    <t>Girder Truss 8' Long</t>
  </si>
  <si>
    <t>Girder Truss 10' Long</t>
  </si>
  <si>
    <t>Girder Truss 18' Long</t>
  </si>
  <si>
    <t>Girder Truss 20' Long</t>
  </si>
  <si>
    <t>Girder Truss 22' Long</t>
  </si>
  <si>
    <t>Girder Truss 24' Long</t>
  </si>
  <si>
    <t>Girder Truss 26' Long</t>
  </si>
  <si>
    <t>Drag Truss 10' Long</t>
  </si>
  <si>
    <t>Drag Truss 22' Long</t>
  </si>
  <si>
    <t>Drag Truss 28' Long</t>
  </si>
  <si>
    <t>Roof Trusses:</t>
  </si>
  <si>
    <t>Roof Truss 2' Long</t>
  </si>
  <si>
    <t>Trusses @ 24"OC.</t>
  </si>
  <si>
    <t>Roof Truss 4' Long</t>
  </si>
  <si>
    <t>Roof Truss 6' Long</t>
  </si>
  <si>
    <t>Roof Truss 8' Long</t>
  </si>
  <si>
    <t>Roof Truss 10' Long</t>
  </si>
  <si>
    <t>Roof Truss 12' Long</t>
  </si>
  <si>
    <t>Roof Truss 18' Long</t>
  </si>
  <si>
    <t>Roof Truss 20' Long</t>
  </si>
  <si>
    <t>Roof Truss 26' Long</t>
  </si>
  <si>
    <t>Roof Truss 28' Long</t>
  </si>
  <si>
    <t>Drag Truss 24' Long</t>
  </si>
  <si>
    <t>Simpson DTC Truss Clips</t>
  </si>
  <si>
    <t>Simpson TSP</t>
  </si>
  <si>
    <t>Simpson LGT3</t>
  </si>
  <si>
    <t>Truss Hangers</t>
  </si>
  <si>
    <t>5-1/4"x9-1/4"PSL (4/10')</t>
  </si>
  <si>
    <t>5-1/4"x9-1/4"PSL (2/8')</t>
  </si>
  <si>
    <t>3-1/2"x11-1/4" LVL (11/16')</t>
  </si>
  <si>
    <t>CMU</t>
  </si>
  <si>
    <t>A200</t>
  </si>
  <si>
    <t>Parged CMU Wall</t>
  </si>
  <si>
    <t>BRICK VENEER</t>
  </si>
  <si>
    <t>Fin Sch./A200</t>
  </si>
  <si>
    <t>9" Brick Header</t>
  </si>
  <si>
    <t>8" Cast Stone Cap</t>
  </si>
  <si>
    <t>Cast Stone Base</t>
  </si>
  <si>
    <t>Details/A702</t>
  </si>
  <si>
    <t>Metal Flashing @ Windows
-Sealent</t>
  </si>
  <si>
    <t>6/A500</t>
  </si>
  <si>
    <t>Flashing @ Canopy</t>
  </si>
  <si>
    <t>08 00 00</t>
  </si>
  <si>
    <t>OPENINGS</t>
  </si>
  <si>
    <t>DOORS, FRAMES &amp; HARDWARES</t>
  </si>
  <si>
    <t>INTERIOR DOORS</t>
  </si>
  <si>
    <t>Door Schedule/
A702</t>
  </si>
  <si>
    <t>Single Panel Doors
Size: 3'-0" x 7'-0" x 1-3/4"
Door Material: HM
Frame Material: Metal</t>
  </si>
  <si>
    <t>Doube Panel Doors
Size: (2)3'-0" x 7'-0" x 1-3/4"
Door Material: HM
Frame Material: Metal</t>
  </si>
  <si>
    <t>Single Panel Doors
Size: 3'-0" x 8'-0" x 1-3/4"
Door Material: HM
Frame Material: Metal</t>
  </si>
  <si>
    <t>Single Panel Doors
Size: 2'-8" x 8'-0" x 1-3/4"
Door Material: HM
Frame Material: Metal</t>
  </si>
  <si>
    <t>Single Panel Doors
Size: 2'-8" x 6'-8" x 1-3/4"
Door Material: HM
Frame Material: Metal</t>
  </si>
  <si>
    <t>Single Panel Doors
Size: 3'-0" x 6'-8" x 1-3/4"
Door Material: HM
Frame Material: Metal</t>
  </si>
  <si>
    <t>Single Panel Doors
Size: 3'-0" x 6'-8" x 1-3/4"
Door Material: WD
Frame Material: WD</t>
  </si>
  <si>
    <t>Single Panel Doors
Size: 2'-8" x 6'-8" x 1-3/4"
Door Material: WD
Frame Material: WD</t>
  </si>
  <si>
    <t>Double Panel Doors
Size: (2)2'-6" x 6'-8" x 1-3/4"
Door Material: WD
Frame Material: WD</t>
  </si>
  <si>
    <t>Double Panel Doors
Size: (2)3'-0" x 8'-0" x 1-3/4"
Door Material: WD
Frame Material: WD</t>
  </si>
  <si>
    <t>Single Panel Doors
Size: 6'-0" x 8'-0" x 1-3/4"
Door Material: WD/Vinyl
Frame Material: WD/Vinyl</t>
  </si>
  <si>
    <t>Single Panel Doors
Size: 3'-6" x 7'-0" x 1-3/4"
Door Material: HM
Frame Material: Metal</t>
  </si>
  <si>
    <t>Double Panel Doors
Size: (2)2'-0" x 7'-0" x 1-3/4"
Door Material: HM
Frame Material: Metal</t>
  </si>
  <si>
    <t>EXTERIOR DOORS</t>
  </si>
  <si>
    <t>A4.1-A4.2</t>
  </si>
  <si>
    <t>Window Schedule/A-2.3</t>
  </si>
  <si>
    <t>Garage Overhead Doors
Size: 18'-0" x 10'-5" x 1-3/4"
Door Material: AL
Frame Material: Metal</t>
  </si>
  <si>
    <t>WINDOWS</t>
  </si>
  <si>
    <t>Window Schedule/
A702</t>
  </si>
  <si>
    <r>
      <t xml:space="preserve">Windows A </t>
    </r>
    <r>
      <rPr>
        <b/>
        <sz val="12"/>
        <rFont val="Calibri"/>
        <family val="2"/>
        <scheme val="minor"/>
      </rPr>
      <t>(10 EA.)</t>
    </r>
    <r>
      <rPr>
        <sz val="12"/>
        <rFont val="Calibri"/>
        <family val="2"/>
        <scheme val="minor"/>
      </rPr>
      <t xml:space="preserve">
Size: 6'-0 1/2" x 6'-0 3/8"
Material: WD/Vinyl</t>
    </r>
  </si>
  <si>
    <r>
      <t xml:space="preserve">Windows B </t>
    </r>
    <r>
      <rPr>
        <b/>
        <sz val="12"/>
        <rFont val="Calibri"/>
        <family val="2"/>
        <scheme val="minor"/>
      </rPr>
      <t>(10 EA.)</t>
    </r>
    <r>
      <rPr>
        <sz val="12"/>
        <rFont val="Calibri"/>
        <family val="2"/>
        <scheme val="minor"/>
      </rPr>
      <t xml:space="preserve">
Size: 3'-0 1/2" x 6'-0 3/8"
Material: WD/Vinyl</t>
    </r>
  </si>
  <si>
    <t>Non Operable</t>
  </si>
  <si>
    <r>
      <t xml:space="preserve">Windows C </t>
    </r>
    <r>
      <rPr>
        <b/>
        <sz val="12"/>
        <rFont val="Calibri"/>
        <family val="2"/>
        <scheme val="minor"/>
      </rPr>
      <t>(01 EA.)</t>
    </r>
    <r>
      <rPr>
        <sz val="12"/>
        <rFont val="Calibri"/>
        <family val="2"/>
        <scheme val="minor"/>
      </rPr>
      <t xml:space="preserve">
Size: 6'-0 1/2" x 6'-0 3/8"
Material: WD/Vinyl</t>
    </r>
  </si>
  <si>
    <r>
      <t xml:space="preserve">Windows D </t>
    </r>
    <r>
      <rPr>
        <b/>
        <sz val="12"/>
        <rFont val="Calibri"/>
        <family val="2"/>
        <scheme val="minor"/>
      </rPr>
      <t>(4 EA.)</t>
    </r>
    <r>
      <rPr>
        <sz val="12"/>
        <rFont val="Calibri"/>
        <family val="2"/>
        <scheme val="minor"/>
      </rPr>
      <t xml:space="preserve">
Size: 9'-0 1/2" x 6'-0 3/8"
Material: WD/Vinyl</t>
    </r>
  </si>
  <si>
    <r>
      <t xml:space="preserve">Windows E </t>
    </r>
    <r>
      <rPr>
        <b/>
        <sz val="12"/>
        <rFont val="Calibri"/>
        <family val="2"/>
        <scheme val="minor"/>
      </rPr>
      <t>(2 EA.)</t>
    </r>
    <r>
      <rPr>
        <sz val="12"/>
        <rFont val="Calibri"/>
        <family val="2"/>
        <scheme val="minor"/>
      </rPr>
      <t xml:space="preserve">
Size: 3'-0 1/2" x 2'-0 5/8"
Material: WD/Vinyl</t>
    </r>
  </si>
  <si>
    <t>LOUVER</t>
  </si>
  <si>
    <t>STOREFRONT</t>
  </si>
  <si>
    <t>A702</t>
  </si>
  <si>
    <t>Storefront W/ Door
-5'-7"x9'-0"
-3'-0"x8'-0" AL/GL Door W/ AL Frame</t>
  </si>
  <si>
    <t>Storefront Window
-3'-0"x7'-6"</t>
  </si>
  <si>
    <r>
      <rPr>
        <b/>
        <sz val="12"/>
        <rFont val="Calibri"/>
        <family val="2"/>
        <scheme val="minor"/>
      </rPr>
      <t>Specification:</t>
    </r>
    <r>
      <rPr>
        <sz val="12"/>
        <rFont val="Calibri"/>
        <family val="2"/>
        <scheme val="minor"/>
      </rPr>
      <t xml:space="preserve">
ALUMINUM STOREFRONT SYSTEM SPECIFICATION:
1. MANUFACTURER: KAWNEER
2. MODEL: 1600
3. FINISH: ANODIC COATING  
4. COLOR: BLACK
5. GLASS PLANE OPTIONS:  LOW-E OUTSIDE GLAZE
6. GLASS: GUARDIAN SUNGUARD CRYSTAL BLUE 68 CLEAR
7. PERFORMANCE REQUIREMENTS:
· PRODUCT STANDARD: AAMA/WDMA/CSA 101/ I.S.2/A440
· THERMAL TRANSMITTANCE: NFRC 100 MAXIMUM WHOLE-WINDOW
· U-FACTOR OF .3 BTU//HR/SQ.FT./DEG F</t>
    </r>
  </si>
  <si>
    <t>HARDWARE</t>
  </si>
  <si>
    <t>A701</t>
  </si>
  <si>
    <t>HARDWARE SET #1
1 CONTINUOUS HINGE
1 EXIT DEVICE
1 EXIT DEVICE TRIM
1 RIM CYLINDER HOUSING
1 CYLINDER CORE
1 CLOSER
1 KICK PLATE
1 THRESHOLD
1 SET WEATHERSTRIP
1 DRIP CAP
1 DOOR BOTTOM</t>
  </si>
  <si>
    <t>HARDWARE SET #2
2 CONTINUOUS HINGE
2 EXIT DEVICE
2 EXIT DEVICE TRIM
1 CLOSER
1 CLOSER
2 KICK PLATE
1 WALL STOP(S)
1 THRESHOLD
1 SEAL
2 DOOR SWEEP</t>
  </si>
  <si>
    <t>HARDWARE SET #3
3 HINGE(S)
1 EXIT DEVICE
1 EXIT DEVICE TRIM
1 CLOSER
1 KICK PLATE
1 THRESHOLD
1 SEAL
1 DOOR SWEEP</t>
  </si>
  <si>
    <t>HARDWARE SET #4
3 HINGE(S)
1 EXIT DEVICE
1 EXIT DEVICE TRIM
1 CLOSER
1 KICK PLATE
1 WALL STOP(S)
1 THRESHOLD
1 SEAL
1 DOOR SWEEP</t>
  </si>
  <si>
    <t>HARDWARE SET #5
1 CONTINUOUS HINGE
1 LOCKSET
1 CYLINDER CORE
1 CLOSER
1 KICK PLATE
1 WALL STOP(S)
1 THRESHOLD
1 SEAL
1 DRIP CAP
1 DOOR BOTTOM</t>
  </si>
  <si>
    <t>HARDWARE SET #6
3 HINGE(S)
1 LOCKSET
1 CYLINDER CORE
1 CLOSER
1 KICK PLATE
1 WALL STOP(S)
1 THRESHOLD
1 SEAL
1 DOOR SWEEP</t>
  </si>
  <si>
    <t>HARDWARE SET #7
1 HINGE(S)
2 HINGE
1 ELECTRIFIED LOCKSET
1 CYLINDER CORE
1 CLOSER
1 KICK PLATE
1 THRESHOLD
1 SEAL
1 DOOR SWEEP
1 KEYPAD/PROX
1 POWER SUPPLY
1 WIRING DIAGRAM</t>
  </si>
  <si>
    <t>HARDWARE SET #8
3 HINGE(S)
1 PASSAGE SET
1 CLOSER
1 KICK PLATE
1 MOP PLATE
1 WALL STOP(S)
1 THRESHOLD
1 SEAL
1 AUTOMATIC DOOR BOTTOM</t>
  </si>
  <si>
    <t>HARDWARE SET #9
3 HINGE(S)
1 LOCKSET
1 CYLINDER CORE
1 CLOSER
1 KICK PLATE
1 WALL STOP(S)
1 THRESHOLD
1 SEAL
1 DOOR SWEEP
1 DOOR VIEWER</t>
  </si>
  <si>
    <t>HARDWARE SET #10
3 HINGES
1 PRIVACY SET
1 DOOR STOP
1 THRESHOLD
3 DOOR SILENCER</t>
  </si>
  <si>
    <t>HARDWARE SET #11
3 HINGES
1 PASSAGE SET
1 DOOR STOP
1 THRESHOLD
3 DOOR SILENCER</t>
  </si>
  <si>
    <t>HARDWARE SET #14
1 SLIDING DOOR SET
2 FLUSH PULL
2 DOOR PULL
1 THRESHOLD</t>
  </si>
  <si>
    <t>HARDWARE SET #16
ALL HARDWARE
-BY THE DOOR MFGR</t>
  </si>
  <si>
    <t>HARDWARE SET #17
1 CYLINDER CORE
1 SFIC CYLINDER HOUSING
1 KEYPAD/PROX
1 BALANCE OF HARDWARE</t>
  </si>
  <si>
    <t>Openings Sub Total</t>
  </si>
  <si>
    <t>TILING</t>
  </si>
  <si>
    <t>A705</t>
  </si>
  <si>
    <t>Fin Sch./A705</t>
  </si>
  <si>
    <t>Tiling Sub Total</t>
  </si>
  <si>
    <t>WOOD FLOORING</t>
  </si>
  <si>
    <t xml:space="preserve">Wood Flooring </t>
  </si>
  <si>
    <t>Wood Flooring Sub Total</t>
  </si>
  <si>
    <t>WALL BASE</t>
  </si>
  <si>
    <t>Wall Base Sub Total</t>
  </si>
  <si>
    <t>FLOOR TRANSITIONS</t>
  </si>
  <si>
    <t>Threshold Type/A700</t>
  </si>
  <si>
    <t>Aluminum Saddle</t>
  </si>
  <si>
    <t>Marble Saddle</t>
  </si>
  <si>
    <t>Saddle</t>
  </si>
  <si>
    <t>Transitions Sub Total</t>
  </si>
  <si>
    <t>EXTERIOR FINISHES</t>
  </si>
  <si>
    <t>CEMENT BOARD SIDING</t>
  </si>
  <si>
    <t>METAL PANEL SIDING</t>
  </si>
  <si>
    <t>EXTERIOR TRIM BOARDS</t>
  </si>
  <si>
    <t>4" FC Trim @ Window</t>
  </si>
  <si>
    <t>Assumed</t>
  </si>
  <si>
    <t>Starter Strip</t>
  </si>
  <si>
    <t>METAL BAND</t>
  </si>
  <si>
    <t>12" Ornamental Metal Band</t>
  </si>
  <si>
    <t>Glass Railing 3'-6"H</t>
  </si>
  <si>
    <t>Exterior Finishes Sub Total</t>
  </si>
  <si>
    <t>FLASHING</t>
  </si>
  <si>
    <t>WOOD RAILINGS</t>
  </si>
  <si>
    <t>Wood Railings Sub Total</t>
  </si>
  <si>
    <t>GLASS RAILINGS</t>
  </si>
  <si>
    <t>Glass Railings Sub Total</t>
  </si>
  <si>
    <t>LUXURY VINYL TILE</t>
  </si>
  <si>
    <t>Luxury Vinyl Tile Sub Total</t>
  </si>
  <si>
    <t>CARPET TILE</t>
  </si>
  <si>
    <t>Carpet Tile Sub Total</t>
  </si>
  <si>
    <t>EPOXY FLOORING</t>
  </si>
  <si>
    <t>Epoxy Flooring Sub Total</t>
  </si>
  <si>
    <t>WATERPROOFING TRAFFIC SYSTEM</t>
  </si>
  <si>
    <t>Waterproofng Traffic System Sub Total</t>
  </si>
  <si>
    <t>Sub Total</t>
  </si>
  <si>
    <t>Total Trusses</t>
  </si>
  <si>
    <t>Total Lumber</t>
  </si>
  <si>
    <t>Trusses</t>
  </si>
  <si>
    <t>Trusses Sub Total</t>
  </si>
  <si>
    <t>08/16/2022</t>
  </si>
  <si>
    <t>EARTHWORKS</t>
  </si>
  <si>
    <t>ROUGH GRADING</t>
  </si>
  <si>
    <t>C-400</t>
  </si>
  <si>
    <t>3" Toposil Stripping Assumed</t>
  </si>
  <si>
    <t>CY</t>
  </si>
  <si>
    <t>Grading Cut</t>
  </si>
  <si>
    <t>Grading Fill</t>
  </si>
  <si>
    <t>Net Fill to be Imported</t>
  </si>
  <si>
    <t>EROSION AND SEDIMENT CONTROL</t>
  </si>
  <si>
    <t>C-800</t>
  </si>
  <si>
    <t>C-801</t>
  </si>
  <si>
    <t>Silt Fence
-2" Hadwood Posts with 24" Embedment and above 
-Filter Fabric Mirafi or Equivalent
-Woven Wire Fence 14 1/2 GA</t>
  </si>
  <si>
    <t>Inlet Protection
-1" Rebar
-Siltsack
-Dump Strap</t>
  </si>
  <si>
    <t>Stabilized Construction Entrance
-No. 2 or No. 3 Crushed Stone
-6" Thick</t>
  </si>
  <si>
    <t>Earthwork Sub Total</t>
  </si>
  <si>
    <t>EXTERIOR IMPROVMENTS</t>
  </si>
  <si>
    <t>SITE DEMOLITIONS</t>
  </si>
  <si>
    <t>C-200</t>
  </si>
  <si>
    <t>Milled and Repaved</t>
  </si>
  <si>
    <t>Remove and Replace Pavement</t>
  </si>
  <si>
    <t>Remove Ex. Apron</t>
  </si>
  <si>
    <t>Remove Ex. Chain Link Fence</t>
  </si>
  <si>
    <t>Remove Ex. Curb</t>
  </si>
  <si>
    <t>Remove Ex. Grass Area</t>
  </si>
  <si>
    <t>Remove Ex. Pole</t>
  </si>
  <si>
    <t>Remove Ex. Wood Fencing and Posts</t>
  </si>
  <si>
    <t>Remove Sidewalk</t>
  </si>
  <si>
    <t>Sawcut</t>
  </si>
  <si>
    <t xml:space="preserve"> </t>
  </si>
  <si>
    <t>SITE DEVELOPMENT</t>
  </si>
  <si>
    <t>SIDEWALK</t>
  </si>
  <si>
    <t>C-300</t>
  </si>
  <si>
    <t>C-900</t>
  </si>
  <si>
    <t>5" Thick Concrete (4500 Psi) Sidewalk
-Air Entrained</t>
  </si>
  <si>
    <t>Control Joints</t>
  </si>
  <si>
    <t>Expansion Joints</t>
  </si>
  <si>
    <t>5" Edge Form</t>
  </si>
  <si>
    <t>4" Granular Subbase Type 5 Class A</t>
  </si>
  <si>
    <t>Compacted Subgrade</t>
  </si>
  <si>
    <t>SIDEWALK @ DRIVEWAY</t>
  </si>
  <si>
    <t>6" Edge Form</t>
  </si>
  <si>
    <t>PARKING SLAB</t>
  </si>
  <si>
    <t>7" Edge Form</t>
  </si>
  <si>
    <t>6" Granular Subbase 3/4" Crushed Stone</t>
  </si>
  <si>
    <t>DECORATIVE STONE @ PERIMETER</t>
  </si>
  <si>
    <t>Decorative Stone</t>
  </si>
  <si>
    <t>Filter Fabric</t>
  </si>
  <si>
    <t>Note: We have assumed Details for Decorative stone. Please confirm</t>
  </si>
  <si>
    <t>Painted 4" Wide Yellow lines</t>
  </si>
  <si>
    <t>Standard Pavement Strips</t>
  </si>
  <si>
    <t>ADA Painted Sign</t>
  </si>
  <si>
    <t>Pavement Painted Traffic Flow Arrows</t>
  </si>
  <si>
    <t>Pavement Painted Stop Bar</t>
  </si>
  <si>
    <t>Pavement Painted Stop Sign</t>
  </si>
  <si>
    <t>CURBS</t>
  </si>
  <si>
    <t>Concrete Curb</t>
  </si>
  <si>
    <t>Concrete Curb Depressed</t>
  </si>
  <si>
    <t>ALUMINIUM FENCE</t>
  </si>
  <si>
    <t>Item: Footing for Aluminium Fence
Dia: 1'-6"
Depth: 3'-0"
Count: 18 EA</t>
  </si>
  <si>
    <t>Concrete (4000 Psi)</t>
  </si>
  <si>
    <t>Formwork Circular</t>
  </si>
  <si>
    <t>SFCA</t>
  </si>
  <si>
    <t>Excavation</t>
  </si>
  <si>
    <t>Backfill</t>
  </si>
  <si>
    <t>5' High Black Aluminium Oramental Fence
-3 Straight Horizontal Rails
-2" Square Posts @ 6'-0" OC
-5/8" Square Pickets spaced @ 3 13/16" apart</t>
  </si>
  <si>
    <t>Item: Footing for Aluminium Fence on Ex. Wall
Dia: 1'-6"
Depth: 3'-0"
Count: 10 EA</t>
  </si>
  <si>
    <t>5' High Black Aluminium Oramental Fence On Existing Concrete Block Wall
-3 Straight Horizontal Rails
-2" Square Posts @ 6'-0" OC
-5/8" Square Pickets spaced @ 3 13/16" apart</t>
  </si>
  <si>
    <t>Note: We have assumed Details for footing details and spacing for ornamnetal fence. Please confirm</t>
  </si>
  <si>
    <t>MISC ITEMS</t>
  </si>
  <si>
    <t>Item: Footing for Stop Sign
Dia: 1'-6"
Depth: 3'-0"
Count: 01 EA</t>
  </si>
  <si>
    <t>Stop Sign Post
-R1-1</t>
  </si>
  <si>
    <t>Note: We have assumed footing for stop sign inside a building. Please confirm</t>
  </si>
  <si>
    <t>Wall Mounted ADA Sign
-R7-8, R7-8P, R7-8B</t>
  </si>
  <si>
    <t>Wheel Stop</t>
  </si>
  <si>
    <t>LANDSCAPING</t>
  </si>
  <si>
    <t>3" Mulch Layer</t>
  </si>
  <si>
    <t>Proposed Tree (Littleaf Linden)</t>
  </si>
  <si>
    <t>STORM UTILITIES</t>
  </si>
  <si>
    <t>C-901</t>
  </si>
  <si>
    <t>10" DIP Pipe</t>
  </si>
  <si>
    <t>Stone Bedding</t>
  </si>
  <si>
    <t>12" HDPE Pipe</t>
  </si>
  <si>
    <t>36" HDPE Pipe</t>
  </si>
  <si>
    <t>6" HDPE From Roof Drain</t>
  </si>
  <si>
    <t>6" PVC Pipe</t>
  </si>
  <si>
    <t>UNDERGROUND DETENTION SYSTEM</t>
  </si>
  <si>
    <t>C-902</t>
  </si>
  <si>
    <t>6' Dia Access Manhole</t>
  </si>
  <si>
    <t>Stone Bedding Class I Material</t>
  </si>
  <si>
    <t>3/4" Crushed Stone Bedding</t>
  </si>
  <si>
    <t xml:space="preserve">Cleanout </t>
  </si>
  <si>
    <t>SANITARY UTILITIES</t>
  </si>
  <si>
    <t>4" PVC Sanitary Line</t>
  </si>
  <si>
    <t>Shoring Both Side of Trench</t>
  </si>
  <si>
    <t>Note: Profile is showing 2" PVC and Pla is showing 4" PVC so we are considering 4" to be on safe side. Please confirm</t>
  </si>
  <si>
    <t>Inserta Tee Connection</t>
  </si>
  <si>
    <t>Sanitary Sewer Cleanout</t>
  </si>
  <si>
    <t>45 Degree Bend</t>
  </si>
  <si>
    <t>WATER UTILITIES</t>
  </si>
  <si>
    <t>Prop. 4" DIP CL 52 Fire Service</t>
  </si>
  <si>
    <t>RPZ Valve</t>
  </si>
  <si>
    <t>TELECOMUNNICATION</t>
  </si>
  <si>
    <t>Electric and Telephone Service</t>
  </si>
  <si>
    <t>4" Conduit (Assumed)</t>
  </si>
  <si>
    <t>GAS UTILITIES</t>
  </si>
  <si>
    <t>Prop. Gas Service</t>
  </si>
  <si>
    <t>Concrete Encasement</t>
  </si>
  <si>
    <t>Exterior Improvement Sub Total</t>
  </si>
  <si>
    <t>Exclusions</t>
  </si>
  <si>
    <t>Anything not mentioned above</t>
  </si>
  <si>
    <t>03 00 00</t>
  </si>
  <si>
    <t>CONCRETE</t>
  </si>
  <si>
    <t>FOUNDATION PLAN</t>
  </si>
  <si>
    <t>PAD FOOTING</t>
  </si>
  <si>
    <t>Pad Footing F3.5 (-6'-0")
Length: 3'-6"
Width: 3'-6"
Depth: 1'-8"
Count: 01 EA</t>
  </si>
  <si>
    <t>S-101</t>
  </si>
  <si>
    <t>6/S-200</t>
  </si>
  <si>
    <t>Formwork (Pad Footing)</t>
  </si>
  <si>
    <t>8 #4 Each Way</t>
  </si>
  <si>
    <t>LB</t>
  </si>
  <si>
    <t>Pad Footing F3.5 (-7'-8")
Length: 3'-6"
Width: 3'-6"
Depth: 1'-8"
Count: 01 EA</t>
  </si>
  <si>
    <t>Pad Footing F5.0 (-6'-0")
Length: 5'-0"
Width: 5'-0"
Depth: 2'-0"
Count: 01 EA</t>
  </si>
  <si>
    <t>5/S-200</t>
  </si>
  <si>
    <t>9 #5 Each Way</t>
  </si>
  <si>
    <t>Pad Footing F5.0 (-4'-8")
Length: 5'-0"
Width: 5'-0"
Depth: 2'-0"
Count: 03 EA</t>
  </si>
  <si>
    <t>PIERS</t>
  </si>
  <si>
    <t>PIERS - P1
Length: 2'-0"
Width: 2'-0"
Depth: 1'-4"
Count: 03 EA</t>
  </si>
  <si>
    <t>Formwork (Pier)</t>
  </si>
  <si>
    <t>4 - #8 Vertical Bars</t>
  </si>
  <si>
    <t>#4 Stirrups @ 8" OC Assumed</t>
  </si>
  <si>
    <t>PIERS - P1
Length: 2'-0"
Width: 2'-0"
Depth: 1'-8"
Count: 01 EA</t>
  </si>
  <si>
    <t>PIERS - P1
Length: 2'-0"
Width: 2'-0"
Depth: 2'-0"
Count: 01 EA</t>
  </si>
  <si>
    <t>PIERS - P1
Length: 2'-0"
Width: 2'-0"
Depth: 3'-8"
Count: 01 EA</t>
  </si>
  <si>
    <t>Note: We have assumed stirrups for Piers. Please confirm</t>
  </si>
  <si>
    <t>Pad Footings Sub Total</t>
  </si>
  <si>
    <t>WALL FOOTING</t>
  </si>
  <si>
    <t>Wall Footing 1/S200 (-5'-0")
Length: 2'-0"
Width: 2'-0"
Depth: 1'-0"</t>
  </si>
  <si>
    <t>S-200</t>
  </si>
  <si>
    <t>Formwork (Wall Footing)</t>
  </si>
  <si>
    <t>#4 @ 12" O.C. Long. Bars</t>
  </si>
  <si>
    <t>4 - #4 Cont. Bars</t>
  </si>
  <si>
    <t>#4 @ 48" O.C. Vertical Dowel Bars into 6" Wall</t>
  </si>
  <si>
    <t>#4 @ 48" O.C. Vertical Dowel Bars into 8" Wall</t>
  </si>
  <si>
    <t>Wall Footing 1/S200 - (5'-8")
Length: 4'-0"
Width: 2'-0"
Depth: 1'-0"</t>
  </si>
  <si>
    <t>Wall Footing 2/S200 - (5'-0")
Length: 20'-0"
Width: 2'-0"
Depth: 1'-0"</t>
  </si>
  <si>
    <t>Wall Footing 2/S200 - (5'-8")
Length: 19'-0"
Width: 2'-0"
Depth: 1'-0"</t>
  </si>
  <si>
    <t>Wall Footing 2/S200 - (6'-4")
Length: 58'-0"
Width: 2'-0"
Depth: 1'-0"</t>
  </si>
  <si>
    <t>Wall Footing 2/S200 - (7'-0")
Length: 40'-0"
Width: 2'-0"
Depth: 1'-0"</t>
  </si>
  <si>
    <t>Shoring on Both Side of the Excavation</t>
  </si>
  <si>
    <t>Wall Footing 2/S200 - (7'-8")
Length: 39'-0"
Width: 2'-0"
Depth: 1'-0"</t>
  </si>
  <si>
    <t>Wall Footing 2A/S200 - (3'-8")
Length: 68'-0"
Width: 2'-0"
Depth: 1'-0"</t>
  </si>
  <si>
    <t>Wall Footing 2A/S200 - (5'-0")
Length: 9'-0"
Width: 2'-0"
Depth: 1'-0"</t>
  </si>
  <si>
    <t>Wall Footing 3/S200 - (3'-8")
Length: 49'-0"
Width: 2'-0"
Depth: 1'-0"</t>
  </si>
  <si>
    <t>Wall Footing 3/S200 - (5'-0")
Length: 41'-0"
Width: 2'-0"
Depth: 1'-0"</t>
  </si>
  <si>
    <t>Wall Footing 3A/S200 - (3'-8")
Length: 5'-0"
Width: 2'-0"
Depth: 1'-0"</t>
  </si>
  <si>
    <t>Wall Footing 3A/S200 - (5'-0")
Length: 11'-0"
Width: 2'-0"
Depth: 1'-0"</t>
  </si>
  <si>
    <t>Wall Footing 4/S200 - (3'-8")
Length: 6'-0"
Width: 2'-0"
Depth: 1'-0"</t>
  </si>
  <si>
    <t>Wall Footing Sub Total</t>
  </si>
  <si>
    <t>ELEVATOR MAT</t>
  </si>
  <si>
    <t xml:space="preserve">Area: 88 SF
Perimeter: 38'-0"
Depth: 1'-0" </t>
  </si>
  <si>
    <t>S-103</t>
  </si>
  <si>
    <t>#4 @ 12" O.C. Each Face Top and Bottom</t>
  </si>
  <si>
    <t>#4 @ 12" O.C. at sides of Sump Pit</t>
  </si>
  <si>
    <t>1' High Perimeter Formwork</t>
  </si>
  <si>
    <t>2' High Perimeter Formwork</t>
  </si>
  <si>
    <t>3' High Perimeter Formwork</t>
  </si>
  <si>
    <t>Key</t>
  </si>
  <si>
    <t xml:space="preserve">WaterProofing </t>
  </si>
  <si>
    <t>ELEVATOR PIT WALLS</t>
  </si>
  <si>
    <t>Length: 30'-9"
Thickness: 8"
Height: 4'-4"</t>
  </si>
  <si>
    <t>#5 x 5'-0" Long @ 48" OC to Match Wall Reinforcement</t>
  </si>
  <si>
    <t>#4 @ 12" O.C. Each Face Vertical</t>
  </si>
  <si>
    <t>#4 @ 12" O.C. Each Face Horizontal</t>
  </si>
  <si>
    <t>Formwork (Wall)</t>
  </si>
  <si>
    <t>Water Stop</t>
  </si>
  <si>
    <t>Sump Pit 2' X 2'
-1"X3/16" Galv. Bar Grating
-L1 1/4X1 1/4X3/16 W/ 1"X1/8"X4" Long Strap Anchor W/ 1" Hk @ 12" O.C. At Perimeter Of Sump Pit</t>
  </si>
  <si>
    <t>Elevator Pit Walls Sub Total</t>
  </si>
  <si>
    <t>SLAB ON GRADE</t>
  </si>
  <si>
    <t>4" Thick Normal Weight Concrete (4000 Psi) Slab on Grade w/ 6x6-W1.4xW1.4 WELDED WIRE FABRIC</t>
  </si>
  <si>
    <t>6" Crushed Stone</t>
  </si>
  <si>
    <t>10 Mil Vapor Barrier</t>
  </si>
  <si>
    <t>Control Joint</t>
  </si>
  <si>
    <t>Expansion Joint</t>
  </si>
  <si>
    <t>Thickened Edge</t>
  </si>
  <si>
    <t>8" Edge Form</t>
  </si>
  <si>
    <t>Slab On Grade Sub Total</t>
  </si>
  <si>
    <t>FOOTING STEPS</t>
  </si>
  <si>
    <t>Formwork (Steps)</t>
  </si>
  <si>
    <t>Extra Labor Price</t>
  </si>
  <si>
    <t>Footing Steps Sub Total</t>
  </si>
  <si>
    <t>Allowance For Simsposn Hardwares &amp; Misc. Items</t>
  </si>
  <si>
    <t>BELOW GRADE CMU WALL</t>
  </si>
  <si>
    <r>
      <rPr>
        <b/>
        <sz val="12"/>
        <rFont val="Calibri"/>
        <family val="2"/>
        <scheme val="minor"/>
      </rPr>
      <t>6" CMU Wall Below Grade</t>
    </r>
    <r>
      <rPr>
        <sz val="12"/>
        <rFont val="Calibri"/>
        <family val="2"/>
        <scheme val="minor"/>
      </rPr>
      <t xml:space="preserve">
- Full Grouted
- Vertical &amp; Horizontal Reinforcement</t>
    </r>
  </si>
  <si>
    <r>
      <rPr>
        <b/>
        <sz val="12"/>
        <rFont val="Calibri"/>
        <family val="2"/>
        <scheme val="minor"/>
      </rPr>
      <t>8" CMU Wall  Below Grade</t>
    </r>
    <r>
      <rPr>
        <sz val="12"/>
        <rFont val="Calibri"/>
        <family val="2"/>
        <scheme val="minor"/>
      </rPr>
      <t xml:space="preserve">
- Full Grouted
- Vertical &amp; Horizontal Reinforcement</t>
    </r>
  </si>
  <si>
    <t>Brick Veneer Sub Total</t>
  </si>
  <si>
    <r>
      <t xml:space="preserve">Facebrick
</t>
    </r>
    <r>
      <rPr>
        <b/>
        <sz val="12"/>
        <rFont val="Calibri"/>
        <family val="2"/>
        <scheme val="minor"/>
      </rPr>
      <t xml:space="preserve">Specs: </t>
    </r>
    <r>
      <rPr>
        <sz val="12"/>
        <rFont val="Calibri"/>
        <family val="2"/>
        <scheme val="minor"/>
      </rPr>
      <t xml:space="preserve">3 5/8" Standard Brick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Glen Grey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Stone Grey Claycoat</t>
    </r>
  </si>
  <si>
    <t>Parging Sub Total</t>
  </si>
  <si>
    <r>
      <rPr>
        <b/>
        <sz val="12"/>
        <rFont val="Calibri"/>
        <family val="2"/>
        <scheme val="minor"/>
      </rPr>
      <t>Specification:</t>
    </r>
    <r>
      <rPr>
        <sz val="12"/>
        <rFont val="Calibri"/>
        <family val="2"/>
        <scheme val="minor"/>
      </rPr>
      <t xml:space="preserve">
WINDOW SPECIFICATION:
1. MANUFACTURER: ANDERSON
2. WINDOW SERIES: 400 SERIES
3. ALL 400 SERIES CASEMENT WINDOWS WILL BE MODEL NUMBER CXW16  
4. TYPE: VINYL WOOD CLAD WINDOW CASEMENT AND AWNING
5. FINISH: BLACK
6. GLASS:  LOW-E
7. INCLUDE INSECT SCREENS AT ALL OPERABLE WINDOWS AS PER MANUF. 
SPECIFICATIONS
WINDOW PERFORMANCE REQUIREMENTS:
PRODUCT STANDARD: AAMA/WDMA/CSA 101/ I.S.2/A440
THERMAL TRANSMITTANCE: NFRC 100 MAXIMUM WHOLE-WINDOW U-FACTOR OF 0.3 BTU/SQ.FT. X H X DEG F.SOLAR HEAT GAIN COEFFICIENT (SHGC): NFRC 200 MAXIMUM WHOLE-WINDOW 
SHGC OF 0.32.</t>
    </r>
  </si>
  <si>
    <t>Balcony Door (04 EA.)
Door Size: 6'-0" x 8'-0"</t>
  </si>
  <si>
    <t>OVERHEAD DOORS</t>
  </si>
  <si>
    <t>Note: Hardware prices are included above under doors, storefront, windows and frames.</t>
  </si>
  <si>
    <t>ELEVATOR</t>
  </si>
  <si>
    <t>14 00 00</t>
  </si>
  <si>
    <t>CONVEYING SYSTEM</t>
  </si>
  <si>
    <t>Elevator Sub Total</t>
  </si>
  <si>
    <r>
      <rPr>
        <b/>
        <sz val="12"/>
        <rFont val="Calibri"/>
        <family val="2"/>
        <scheme val="minor"/>
      </rPr>
      <t>Elevator#1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Machine Room Type: </t>
    </r>
    <r>
      <rPr>
        <sz val="12"/>
        <rFont val="Calibri"/>
        <family val="2"/>
        <scheme val="minor"/>
      </rPr>
      <t xml:space="preserve">Top Landing Built-In Stud 
</t>
    </r>
    <r>
      <rPr>
        <b/>
        <sz val="12"/>
        <rFont val="Calibri"/>
        <family val="2"/>
        <scheme val="minor"/>
      </rPr>
      <t xml:space="preserve">Service: </t>
    </r>
    <r>
      <rPr>
        <sz val="12"/>
        <rFont val="Calibri"/>
        <family val="2"/>
        <scheme val="minor"/>
      </rPr>
      <t xml:space="preserve">General Purpose Passenger
</t>
    </r>
    <r>
      <rPr>
        <b/>
        <sz val="12"/>
        <rFont val="Calibri"/>
        <family val="2"/>
        <scheme val="minor"/>
      </rPr>
      <t xml:space="preserve">Seismic Zone: </t>
    </r>
    <r>
      <rPr>
        <sz val="12"/>
        <rFont val="Calibri"/>
        <family val="2"/>
        <scheme val="minor"/>
      </rPr>
      <t xml:space="preserve">Non-Seismic
</t>
    </r>
    <r>
      <rPr>
        <b/>
        <sz val="12"/>
        <rFont val="Calibri"/>
        <family val="2"/>
        <scheme val="minor"/>
      </rPr>
      <t xml:space="preserve">Quantity Of Units: </t>
    </r>
    <r>
      <rPr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
Capacity: </t>
    </r>
    <r>
      <rPr>
        <sz val="12"/>
        <rFont val="Calibri"/>
        <family val="2"/>
        <scheme val="minor"/>
      </rPr>
      <t xml:space="preserve">2500 Lbs
</t>
    </r>
    <r>
      <rPr>
        <b/>
        <sz val="12"/>
        <rFont val="Calibri"/>
        <family val="2"/>
        <scheme val="minor"/>
      </rPr>
      <t>Speed:</t>
    </r>
    <r>
      <rPr>
        <sz val="12"/>
        <rFont val="Calibri"/>
        <family val="2"/>
        <scheme val="minor"/>
      </rPr>
      <t xml:space="preserve"> 150 Fpm
</t>
    </r>
    <r>
      <rPr>
        <b/>
        <sz val="12"/>
        <rFont val="Calibri"/>
        <family val="2"/>
        <scheme val="minor"/>
      </rPr>
      <t>Travel Distance:</t>
    </r>
    <r>
      <rPr>
        <sz val="12"/>
        <rFont val="Calibri"/>
        <family val="2"/>
        <scheme val="minor"/>
      </rPr>
      <t xml:space="preserve"> 24'-0"
</t>
    </r>
    <r>
      <rPr>
        <b/>
        <sz val="12"/>
        <rFont val="Calibri"/>
        <family val="2"/>
        <scheme val="minor"/>
      </rPr>
      <t xml:space="preserve">Landings: </t>
    </r>
    <r>
      <rPr>
        <sz val="12"/>
        <rFont val="Calibri"/>
        <family val="2"/>
        <scheme val="minor"/>
      </rPr>
      <t xml:space="preserve">3
</t>
    </r>
    <r>
      <rPr>
        <b/>
        <sz val="12"/>
        <rFont val="Calibri"/>
        <family val="2"/>
        <scheme val="minor"/>
      </rPr>
      <t xml:space="preserve">Front Openings: </t>
    </r>
    <r>
      <rPr>
        <sz val="12"/>
        <rFont val="Calibri"/>
        <family val="2"/>
        <scheme val="minor"/>
      </rPr>
      <t xml:space="preserve">3
</t>
    </r>
    <r>
      <rPr>
        <b/>
        <sz val="12"/>
        <rFont val="Calibri"/>
        <family val="2"/>
        <scheme val="minor"/>
      </rPr>
      <t xml:space="preserve">Rear Openings: </t>
    </r>
    <r>
      <rPr>
        <sz val="12"/>
        <rFont val="Calibri"/>
        <family val="2"/>
        <scheme val="minor"/>
      </rPr>
      <t xml:space="preserve">0
</t>
    </r>
    <r>
      <rPr>
        <b/>
        <sz val="12"/>
        <rFont val="Calibri"/>
        <family val="2"/>
        <scheme val="minor"/>
      </rPr>
      <t xml:space="preserve">Platform Size: </t>
    </r>
    <r>
      <rPr>
        <sz val="12"/>
        <rFont val="Calibri"/>
        <family val="2"/>
        <scheme val="minor"/>
      </rPr>
      <t xml:space="preserve">Per Manuf.
</t>
    </r>
    <r>
      <rPr>
        <b/>
        <sz val="12"/>
        <rFont val="Calibri"/>
        <family val="2"/>
        <scheme val="minor"/>
      </rPr>
      <t>Door Type:</t>
    </r>
    <r>
      <rPr>
        <sz val="12"/>
        <rFont val="Calibri"/>
        <family val="2"/>
        <scheme val="minor"/>
      </rPr>
      <t xml:space="preserve"> Left Opening
</t>
    </r>
    <r>
      <rPr>
        <b/>
        <sz val="12"/>
        <rFont val="Calibri"/>
        <family val="2"/>
        <scheme val="minor"/>
      </rPr>
      <t>Cab Height:</t>
    </r>
    <r>
      <rPr>
        <sz val="12"/>
        <rFont val="Calibri"/>
        <family val="2"/>
        <scheme val="minor"/>
      </rPr>
      <t xml:space="preserve"> 7'-9"
</t>
    </r>
    <r>
      <rPr>
        <b/>
        <sz val="12"/>
        <rFont val="Calibri"/>
        <family val="2"/>
        <scheme val="minor"/>
      </rPr>
      <t>Hoistway Entrances:</t>
    </r>
    <r>
      <rPr>
        <sz val="12"/>
        <rFont val="Calibri"/>
        <family val="2"/>
        <scheme val="minor"/>
      </rPr>
      <t xml:space="preserve"> 3'-6" Wide Clear X 7'-0" High
</t>
    </r>
    <r>
      <rPr>
        <b/>
        <sz val="12"/>
        <rFont val="Calibri"/>
        <family val="2"/>
        <scheme val="minor"/>
      </rPr>
      <t>Building Classification:</t>
    </r>
    <r>
      <rPr>
        <sz val="12"/>
        <rFont val="Calibri"/>
        <family val="2"/>
        <scheme val="minor"/>
      </rPr>
      <t xml:space="preserve"> R-2
</t>
    </r>
    <r>
      <rPr>
        <b/>
        <sz val="12"/>
        <rFont val="Calibri"/>
        <family val="2"/>
        <scheme val="minor"/>
      </rPr>
      <t xml:space="preserve">Building Code: </t>
    </r>
    <r>
      <rPr>
        <sz val="12"/>
        <rFont val="Calibri"/>
        <family val="2"/>
        <scheme val="minor"/>
      </rPr>
      <t xml:space="preserve">Nj Ibc 2018
</t>
    </r>
    <r>
      <rPr>
        <b/>
        <sz val="12"/>
        <rFont val="Calibri"/>
        <family val="2"/>
        <scheme val="minor"/>
      </rPr>
      <t>Flood Zone:</t>
    </r>
    <r>
      <rPr>
        <sz val="12"/>
        <rFont val="Calibri"/>
        <family val="2"/>
        <scheme val="minor"/>
      </rPr>
      <t xml:space="preserve"> Non-Flood Zone</t>
    </r>
  </si>
  <si>
    <r>
      <rPr>
        <b/>
        <sz val="12"/>
        <rFont val="Calibri"/>
        <family val="2"/>
        <scheme val="minor"/>
      </rPr>
      <t>Epoxy Flooring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Armorapoxy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 xml:space="preserve">Medium Grey
</t>
    </r>
    <r>
      <rPr>
        <b/>
        <sz val="12"/>
        <rFont val="Calibri"/>
        <family val="2"/>
        <scheme val="minor"/>
      </rPr>
      <t xml:space="preserve">Product: </t>
    </r>
    <r>
      <rPr>
        <sz val="12"/>
        <rFont val="Calibri"/>
        <family val="2"/>
        <scheme val="minor"/>
      </rPr>
      <t>Armorclad</t>
    </r>
  </si>
  <si>
    <r>
      <rPr>
        <b/>
        <sz val="12"/>
        <rFont val="Calibri"/>
        <family val="2"/>
        <scheme val="minor"/>
      </rPr>
      <t>Waterproofing Traffic System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Sika
</t>
    </r>
    <r>
      <rPr>
        <b/>
        <sz val="12"/>
        <rFont val="Calibri"/>
        <family val="2"/>
        <scheme val="minor"/>
      </rPr>
      <t xml:space="preserve">Product: </t>
    </r>
    <r>
      <rPr>
        <sz val="12"/>
        <rFont val="Calibri"/>
        <family val="2"/>
        <scheme val="minor"/>
      </rPr>
      <t>Sikalastic 720 Base</t>
    </r>
  </si>
  <si>
    <r>
      <rPr>
        <b/>
        <sz val="12"/>
        <rFont val="Calibri"/>
        <family val="2"/>
        <scheme val="minor"/>
      </rPr>
      <t>Luxury Vinyl Tile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Shawcontract
</t>
    </r>
    <r>
      <rPr>
        <b/>
        <sz val="12"/>
        <rFont val="Calibri"/>
        <family val="2"/>
        <scheme val="minor"/>
      </rPr>
      <t xml:space="preserve">Collection: </t>
    </r>
    <r>
      <rPr>
        <sz val="12"/>
        <rFont val="Calibri"/>
        <family val="2"/>
        <scheme val="minor"/>
      </rPr>
      <t xml:space="preserve">Resilient Commercial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 6"x36"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Driftwood 02150
</t>
    </r>
    <r>
      <rPr>
        <b/>
        <sz val="12"/>
        <rFont val="Calibri"/>
        <family val="2"/>
        <scheme val="minor"/>
      </rPr>
      <t xml:space="preserve">Style: </t>
    </r>
    <r>
      <rPr>
        <sz val="12"/>
        <rFont val="Calibri"/>
        <family val="2"/>
        <scheme val="minor"/>
      </rPr>
      <t>Uncommon Ground 4" 0187V</t>
    </r>
  </si>
  <si>
    <r>
      <rPr>
        <b/>
        <sz val="12"/>
        <rFont val="Calibri"/>
        <family val="2"/>
        <scheme val="minor"/>
      </rPr>
      <t>Ceramic Tile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Daltile
</t>
    </r>
    <r>
      <rPr>
        <b/>
        <sz val="12"/>
        <rFont val="Calibri"/>
        <family val="2"/>
        <scheme val="minor"/>
      </rPr>
      <t>Collection:</t>
    </r>
    <r>
      <rPr>
        <sz val="12"/>
        <rFont val="Calibri"/>
        <family val="2"/>
        <scheme val="minor"/>
      </rPr>
      <t xml:space="preserve"> Koncrete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 18x18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 xml:space="preserve">Grey KC04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 xml:space="preserve"> Matte</t>
    </r>
  </si>
  <si>
    <r>
      <rPr>
        <b/>
        <sz val="12"/>
        <rFont val="Calibri"/>
        <family val="2"/>
        <scheme val="minor"/>
      </rPr>
      <t>Tile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Price Stone
</t>
    </r>
    <r>
      <rPr>
        <b/>
        <sz val="12"/>
        <rFont val="Calibri"/>
        <family val="2"/>
        <scheme val="minor"/>
      </rPr>
      <t xml:space="preserve">Collection: </t>
    </r>
    <r>
      <rPr>
        <sz val="12"/>
        <rFont val="Calibri"/>
        <family val="2"/>
        <scheme val="minor"/>
      </rPr>
      <t xml:space="preserve">Valentino Elementi
</t>
    </r>
    <r>
      <rPr>
        <b/>
        <sz val="12"/>
        <rFont val="Calibri"/>
        <family val="2"/>
        <scheme val="minor"/>
      </rPr>
      <t xml:space="preserve">Size: </t>
    </r>
    <r>
      <rPr>
        <sz val="12"/>
        <rFont val="Calibri"/>
        <family val="2"/>
        <scheme val="minor"/>
      </rPr>
      <t xml:space="preserve">24"x24"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Quadriti Grigio</t>
    </r>
  </si>
  <si>
    <r>
      <rPr>
        <b/>
        <sz val="12"/>
        <rFont val="Calibri"/>
        <family val="2"/>
        <scheme val="minor"/>
      </rPr>
      <t>Wall Tile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Daltile
</t>
    </r>
    <r>
      <rPr>
        <b/>
        <sz val="12"/>
        <rFont val="Calibri"/>
        <family val="2"/>
        <scheme val="minor"/>
      </rPr>
      <t>Collection:</t>
    </r>
    <r>
      <rPr>
        <sz val="12"/>
        <rFont val="Calibri"/>
        <family val="2"/>
        <scheme val="minor"/>
      </rPr>
      <t xml:space="preserve"> Color Wheel Glazed Ceramic Linear
</t>
    </r>
    <r>
      <rPr>
        <b/>
        <sz val="12"/>
        <rFont val="Calibri"/>
        <family val="2"/>
        <scheme val="minor"/>
      </rPr>
      <t xml:space="preserve">Size: </t>
    </r>
    <r>
      <rPr>
        <sz val="12"/>
        <rFont val="Calibri"/>
        <family val="2"/>
        <scheme val="minor"/>
      </rPr>
      <t xml:space="preserve">4x16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Arctic White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 xml:space="preserve"> Semi glass</t>
    </r>
  </si>
  <si>
    <r>
      <rPr>
        <b/>
        <sz val="12"/>
        <rFont val="Calibri"/>
        <family val="2"/>
        <scheme val="minor"/>
      </rPr>
      <t>Backsplash Tile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Daltile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Sail AP06</t>
    </r>
  </si>
  <si>
    <r>
      <rPr>
        <b/>
        <sz val="12"/>
        <rFont val="Calibri"/>
        <family val="2"/>
        <scheme val="minor"/>
      </rPr>
      <t>Tile Base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Daltile
</t>
    </r>
    <r>
      <rPr>
        <b/>
        <sz val="12"/>
        <rFont val="Calibri"/>
        <family val="2"/>
        <scheme val="minor"/>
      </rPr>
      <t xml:space="preserve">Collection: </t>
    </r>
    <r>
      <rPr>
        <sz val="12"/>
        <rFont val="Calibri"/>
        <family val="2"/>
        <scheme val="minor"/>
      </rPr>
      <t xml:space="preserve">Color Wheel Glazed Ceramic Linear
</t>
    </r>
    <r>
      <rPr>
        <b/>
        <sz val="12"/>
        <rFont val="Calibri"/>
        <family val="2"/>
        <scheme val="minor"/>
      </rPr>
      <t xml:space="preserve">Size: </t>
    </r>
    <r>
      <rPr>
        <sz val="12"/>
        <rFont val="Calibri"/>
        <family val="2"/>
        <scheme val="minor"/>
      </rPr>
      <t xml:space="preserve">4x16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 xml:space="preserve">Arctic White
</t>
    </r>
    <r>
      <rPr>
        <b/>
        <sz val="12"/>
        <rFont val="Calibri"/>
        <family val="2"/>
        <scheme val="minor"/>
      </rPr>
      <t xml:space="preserve">Finish: </t>
    </r>
    <r>
      <rPr>
        <sz val="12"/>
        <rFont val="Calibri"/>
        <family val="2"/>
        <scheme val="minor"/>
      </rPr>
      <t>Semi glass</t>
    </r>
  </si>
  <si>
    <t>Mechnical Curb &amp; Flashing</t>
  </si>
  <si>
    <t>05 00 00</t>
  </si>
  <si>
    <t>METALS</t>
  </si>
  <si>
    <t>LADDER</t>
  </si>
  <si>
    <r>
      <t xml:space="preserve">Elevator Pit Ladder
</t>
    </r>
    <r>
      <rPr>
        <b/>
        <sz val="12"/>
        <rFont val="Calibri"/>
        <family val="2"/>
        <scheme val="minor"/>
      </rPr>
      <t>Specs:</t>
    </r>
    <r>
      <rPr>
        <sz val="12"/>
        <rFont val="Calibri"/>
        <family val="2"/>
        <scheme val="minor"/>
      </rPr>
      <t xml:space="preserve">
- 3/8" x 2-1/2" Steel Stringers
- 3/4" Dia. Steel Rung-Extend Rungs Thru Stringers
- 2-1/2" x 2-1/2" x 1/4" x 2-1/2" Steel Angles</t>
    </r>
  </si>
  <si>
    <t>12/A420</t>
  </si>
  <si>
    <t xml:space="preserve"> Ladder Sub Total</t>
  </si>
  <si>
    <t>Flashing @ Duct Openings</t>
  </si>
  <si>
    <t>Penetration Flashings</t>
  </si>
  <si>
    <t>EA.</t>
  </si>
  <si>
    <r>
      <rPr>
        <b/>
        <sz val="12"/>
        <rFont val="Calibri"/>
        <family val="2"/>
        <scheme val="minor"/>
      </rPr>
      <t>Carpet Tile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Shawcontract
</t>
    </r>
    <r>
      <rPr>
        <b/>
        <sz val="12"/>
        <rFont val="Calibri"/>
        <family val="2"/>
        <scheme val="minor"/>
      </rPr>
      <t>Collection:</t>
    </r>
    <r>
      <rPr>
        <sz val="12"/>
        <rFont val="Calibri"/>
        <family val="2"/>
        <scheme val="minor"/>
      </rPr>
      <t xml:space="preserve"> Symmetry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 9"x36"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Pulse 27560
</t>
    </r>
    <r>
      <rPr>
        <b/>
        <sz val="12"/>
        <rFont val="Calibri"/>
        <family val="2"/>
        <scheme val="minor"/>
      </rPr>
      <t>Style:</t>
    </r>
    <r>
      <rPr>
        <sz val="12"/>
        <rFont val="Calibri"/>
        <family val="2"/>
        <scheme val="minor"/>
      </rPr>
      <t xml:space="preserve"> 5T343</t>
    </r>
  </si>
  <si>
    <r>
      <rPr>
        <b/>
        <sz val="12"/>
        <rFont val="Calibri"/>
        <family val="2"/>
        <scheme val="minor"/>
      </rPr>
      <t>Base Moulding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Dykes Lumber
</t>
    </r>
    <r>
      <rPr>
        <b/>
        <sz val="12"/>
        <rFont val="Calibri"/>
        <family val="2"/>
        <scheme val="minor"/>
      </rPr>
      <t xml:space="preserve">Product #: </t>
    </r>
    <r>
      <rPr>
        <sz val="12"/>
        <rFont val="Calibri"/>
        <family val="2"/>
        <scheme val="minor"/>
      </rPr>
      <t xml:space="preserve">355 Applique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 1x6</t>
    </r>
  </si>
  <si>
    <r>
      <rPr>
        <b/>
        <sz val="12"/>
        <rFont val="Calibri"/>
        <family val="2"/>
        <scheme val="minor"/>
      </rPr>
      <t>Cement Board Siding as;</t>
    </r>
    <r>
      <rPr>
        <sz val="12"/>
        <rFont val="Calibri"/>
        <family val="2"/>
        <scheme val="minor"/>
      </rPr>
      <t xml:space="preserve">
Hardie Plank Lap Siding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James Hardie
</t>
    </r>
    <r>
      <rPr>
        <b/>
        <sz val="12"/>
        <rFont val="Calibri"/>
        <family val="2"/>
        <scheme val="minor"/>
      </rPr>
      <t xml:space="preserve">Style: </t>
    </r>
    <r>
      <rPr>
        <sz val="12"/>
        <rFont val="Calibri"/>
        <family val="2"/>
        <scheme val="minor"/>
      </rPr>
      <t xml:space="preserve">Smooth Line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Pearl Grey</t>
    </r>
  </si>
  <si>
    <r>
      <rPr>
        <b/>
        <sz val="12"/>
        <rFont val="Calibri"/>
        <family val="2"/>
        <scheme val="minor"/>
      </rPr>
      <t>Cement Board Siding as;</t>
    </r>
    <r>
      <rPr>
        <sz val="12"/>
        <rFont val="Calibri"/>
        <family val="2"/>
        <scheme val="minor"/>
      </rPr>
      <t xml:space="preserve">
Hardie Plank Lap Siding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James Hardie
</t>
    </r>
    <r>
      <rPr>
        <b/>
        <sz val="12"/>
        <rFont val="Calibri"/>
        <family val="2"/>
        <scheme val="minor"/>
      </rPr>
      <t>Style:</t>
    </r>
    <r>
      <rPr>
        <sz val="12"/>
        <rFont val="Calibri"/>
        <family val="2"/>
        <scheme val="minor"/>
      </rPr>
      <t xml:space="preserve"> Smooth Line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Pearl Grey</t>
    </r>
  </si>
  <si>
    <r>
      <rPr>
        <b/>
        <sz val="12"/>
        <rFont val="Calibri"/>
        <family val="2"/>
        <scheme val="minor"/>
      </rPr>
      <t>Metal Panel;</t>
    </r>
    <r>
      <rPr>
        <sz val="12"/>
        <rFont val="Calibri"/>
        <family val="2"/>
        <scheme val="minor"/>
      </rPr>
      <t xml:space="preserve">
Metal Panel Accent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Fairfield Metals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Black</t>
    </r>
  </si>
  <si>
    <r>
      <rPr>
        <b/>
        <sz val="12"/>
        <rFont val="Calibri"/>
        <family val="2"/>
        <scheme val="minor"/>
      </rPr>
      <t>Metal Cladding as;</t>
    </r>
    <r>
      <rPr>
        <sz val="12"/>
        <rFont val="Calibri"/>
        <family val="2"/>
        <scheme val="minor"/>
      </rPr>
      <t xml:space="preserve">
3/8" MAC Steel Siding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MAC Metal Architecture
</t>
    </r>
    <r>
      <rPr>
        <b/>
        <sz val="12"/>
        <rFont val="Calibri"/>
        <family val="2"/>
        <scheme val="minor"/>
      </rPr>
      <t>Style:</t>
    </r>
    <r>
      <rPr>
        <sz val="12"/>
        <rFont val="Calibri"/>
        <family val="2"/>
        <scheme val="minor"/>
      </rPr>
      <t xml:space="preserve"> Harrywood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Torrified</t>
    </r>
  </si>
  <si>
    <t>Exterior Signage Sub Total</t>
  </si>
  <si>
    <t>EXTERIOR SIGNAGE</t>
  </si>
  <si>
    <r>
      <t xml:space="preserve">Exterior Signage 3'-0"W x 1'-8"H
</t>
    </r>
    <r>
      <rPr>
        <b/>
        <sz val="12"/>
        <rFont val="Calibri"/>
        <family val="2"/>
        <scheme val="minor"/>
      </rPr>
      <t>Lettering:</t>
    </r>
    <r>
      <rPr>
        <sz val="12"/>
        <rFont val="Calibri"/>
        <family val="2"/>
        <scheme val="minor"/>
      </rPr>
      <t xml:space="preserve"> 185 SYLVAN AVE.</t>
    </r>
  </si>
  <si>
    <t>1'-0" Deep Adjustable Shelves</t>
  </si>
  <si>
    <t>CANOPY</t>
  </si>
  <si>
    <t>Canopy Sub Total</t>
  </si>
  <si>
    <r>
      <t xml:space="preserve">Canopy 10'-0" AFF
</t>
    </r>
    <r>
      <rPr>
        <sz val="12"/>
        <rFont val="Calibri"/>
        <family val="2"/>
        <scheme val="minor"/>
      </rPr>
      <t>- Decking
- Saddle Bracket
- Alum. J Channel
- 2" x 2" Alum. Support
- (4) 1" Dia. Galv. Steel Rod
- Galv. Bolt</t>
    </r>
  </si>
  <si>
    <t>WALL PANELS</t>
  </si>
  <si>
    <t>A-705</t>
  </si>
  <si>
    <t>Finish Schedule/A705</t>
  </si>
  <si>
    <r>
      <t xml:space="preserve">WP-1 Wall Panel
Manufacturer: </t>
    </r>
    <r>
      <rPr>
        <sz val="12"/>
        <rFont val="Calibri"/>
        <family val="2"/>
        <scheme val="minor"/>
      </rPr>
      <t>KD Keding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KD Panels-Boxwood</t>
    </r>
    <r>
      <rPr>
        <b/>
        <sz val="12"/>
        <rFont val="Calibri"/>
        <family val="2"/>
        <scheme val="minor"/>
      </rPr>
      <t xml:space="preserve">
Design: </t>
    </r>
    <r>
      <rPr>
        <sz val="12"/>
        <rFont val="Calibri"/>
        <family val="2"/>
        <scheme val="minor"/>
      </rPr>
      <t>Wire Mesh</t>
    </r>
    <r>
      <rPr>
        <b/>
        <sz val="12"/>
        <rFont val="Calibri"/>
        <family val="2"/>
        <scheme val="minor"/>
      </rPr>
      <t xml:space="preserve">
Color: </t>
    </r>
    <r>
      <rPr>
        <sz val="12"/>
        <rFont val="Calibri"/>
        <family val="2"/>
        <scheme val="minor"/>
      </rPr>
      <t>K6353AB</t>
    </r>
  </si>
  <si>
    <t>Wall Panels Sub Total</t>
  </si>
  <si>
    <t>MAILBOXES</t>
  </si>
  <si>
    <t>A-121</t>
  </si>
  <si>
    <t>Detail 9/A121</t>
  </si>
  <si>
    <r>
      <t>Mailboxes
Size:</t>
    </r>
    <r>
      <rPr>
        <sz val="12"/>
        <rFont val="Calibri"/>
        <family val="2"/>
        <scheme val="minor"/>
      </rPr>
      <t xml:space="preserve"> 1'-5"W x 3'-1"H</t>
    </r>
    <r>
      <rPr>
        <b/>
        <sz val="12"/>
        <rFont val="Calibri"/>
        <family val="2"/>
        <scheme val="minor"/>
      </rPr>
      <t xml:space="preserve">
Model #: </t>
    </r>
    <r>
      <rPr>
        <sz val="12"/>
        <rFont val="Calibri"/>
        <family val="2"/>
        <scheme val="minor"/>
      </rPr>
      <t>4C10S-08</t>
    </r>
  </si>
  <si>
    <t>Mailboxes Sub Total</t>
  </si>
  <si>
    <t>INTERIOR SIGNAGES</t>
  </si>
  <si>
    <t>Details/A704</t>
  </si>
  <si>
    <r>
      <t>Signage Type - A
Size:</t>
    </r>
    <r>
      <rPr>
        <sz val="12"/>
        <rFont val="Calibri"/>
        <family val="2"/>
        <scheme val="minor"/>
      </rPr>
      <t xml:space="preserve"> 1'-0"W x 1'-6"H</t>
    </r>
    <r>
      <rPr>
        <b/>
        <sz val="12"/>
        <rFont val="Calibri"/>
        <family val="2"/>
        <scheme val="minor"/>
      </rPr>
      <t xml:space="preserve">
Lettering:</t>
    </r>
    <r>
      <rPr>
        <sz val="12"/>
        <rFont val="Calibri"/>
        <family val="2"/>
        <scheme val="minor"/>
      </rPr>
      <t xml:space="preserve"> Stair A, Floor Name</t>
    </r>
  </si>
  <si>
    <r>
      <t>Signage Type - B
Size:</t>
    </r>
    <r>
      <rPr>
        <sz val="12"/>
        <rFont val="Calibri"/>
        <family val="2"/>
        <scheme val="minor"/>
      </rPr>
      <t xml:space="preserve"> 6"W x 6"H</t>
    </r>
    <r>
      <rPr>
        <b/>
        <sz val="12"/>
        <rFont val="Calibri"/>
        <family val="2"/>
        <scheme val="minor"/>
      </rPr>
      <t xml:space="preserve">
Lettering:</t>
    </r>
    <r>
      <rPr>
        <sz val="12"/>
        <rFont val="Calibri"/>
        <family val="2"/>
        <scheme val="minor"/>
      </rPr>
      <t xml:space="preserve"> Electrical Room</t>
    </r>
  </si>
  <si>
    <r>
      <t>Signage Type - C
Size:</t>
    </r>
    <r>
      <rPr>
        <sz val="12"/>
        <rFont val="Calibri"/>
        <family val="2"/>
        <scheme val="minor"/>
      </rPr>
      <t xml:space="preserve"> 6"W x 6"H</t>
    </r>
    <r>
      <rPr>
        <b/>
        <sz val="12"/>
        <rFont val="Calibri"/>
        <family val="2"/>
        <scheme val="minor"/>
      </rPr>
      <t xml:space="preserve">
Lettering:</t>
    </r>
    <r>
      <rPr>
        <sz val="12"/>
        <rFont val="Calibri"/>
        <family val="2"/>
        <scheme val="minor"/>
      </rPr>
      <t xml:space="preserve"> In Case of Fire Do Not Use Elevators Use Stairs</t>
    </r>
  </si>
  <si>
    <r>
      <t>Signage Type - D
Size:</t>
    </r>
    <r>
      <rPr>
        <sz val="12"/>
        <rFont val="Calibri"/>
        <family val="2"/>
        <scheme val="minor"/>
      </rPr>
      <t xml:space="preserve"> 9-1/2"W x 9"H</t>
    </r>
    <r>
      <rPr>
        <b/>
        <sz val="12"/>
        <rFont val="Calibri"/>
        <family val="2"/>
        <scheme val="minor"/>
      </rPr>
      <t xml:space="preserve">
Lettering:</t>
    </r>
    <r>
      <rPr>
        <sz val="12"/>
        <rFont val="Calibri"/>
        <family val="2"/>
        <scheme val="minor"/>
      </rPr>
      <t xml:space="preserve"> Fire Extinguisher</t>
    </r>
  </si>
  <si>
    <r>
      <t>Signage Type - E
Size:</t>
    </r>
    <r>
      <rPr>
        <sz val="12"/>
        <rFont val="Calibri"/>
        <family val="2"/>
        <scheme val="minor"/>
      </rPr>
      <t xml:space="preserve"> 6"W x 4"H</t>
    </r>
    <r>
      <rPr>
        <b/>
        <sz val="12"/>
        <rFont val="Calibri"/>
        <family val="2"/>
        <scheme val="minor"/>
      </rPr>
      <t xml:space="preserve">
Lettering:</t>
    </r>
    <r>
      <rPr>
        <sz val="12"/>
        <rFont val="Calibri"/>
        <family val="2"/>
        <scheme val="minor"/>
      </rPr>
      <t xml:space="preserve"> Waste/Recycling</t>
    </r>
  </si>
  <si>
    <t>Interior Signages Sub Total</t>
  </si>
  <si>
    <t>Fire Sprinkler</t>
  </si>
  <si>
    <t>Plumbing</t>
  </si>
  <si>
    <t>HVAC/Mechanical</t>
  </si>
  <si>
    <t>Electrical &amp; Fire Alarm</t>
  </si>
  <si>
    <t>SITE WORK</t>
  </si>
  <si>
    <t>General Requirements</t>
  </si>
  <si>
    <t>Pad Footings</t>
  </si>
  <si>
    <t>Wall Footing</t>
  </si>
  <si>
    <t>Elevator Pit Walls</t>
  </si>
  <si>
    <t>Slab On Grade</t>
  </si>
  <si>
    <t>Footing Steps</t>
  </si>
  <si>
    <t>Unit Masnory</t>
  </si>
  <si>
    <t>Parging</t>
  </si>
  <si>
    <t>Brick Veneer</t>
  </si>
  <si>
    <t>Ladder</t>
  </si>
  <si>
    <t>Canopy</t>
  </si>
  <si>
    <t>Lumber Framing</t>
  </si>
  <si>
    <t>Wood Railings</t>
  </si>
  <si>
    <t>Glass Railings</t>
  </si>
  <si>
    <t>Blocking</t>
  </si>
  <si>
    <t>TPO Roofing</t>
  </si>
  <si>
    <t>Openings</t>
  </si>
  <si>
    <t>Drywall Assemblies</t>
  </si>
  <si>
    <t>GWB Ceiling</t>
  </si>
  <si>
    <t>Exterior Soffit</t>
  </si>
  <si>
    <t>Tiling</t>
  </si>
  <si>
    <t>Luxury Vinyl Tile</t>
  </si>
  <si>
    <t>Carpet Tile</t>
  </si>
  <si>
    <t>Epoxy Flooring</t>
  </si>
  <si>
    <t>Waterproofng Traffic System</t>
  </si>
  <si>
    <t>Wood Flooring</t>
  </si>
  <si>
    <t>Wall Base</t>
  </si>
  <si>
    <t>Transitions</t>
  </si>
  <si>
    <t>Exterior Finishes</t>
  </si>
  <si>
    <t>Wall Panels</t>
  </si>
  <si>
    <t>Bathroom Accessories</t>
  </si>
  <si>
    <t>Mailboxes</t>
  </si>
  <si>
    <t>Interior Signages</t>
  </si>
  <si>
    <t>Exterior Signage</t>
  </si>
  <si>
    <t>Appliances</t>
  </si>
  <si>
    <t>Millwork</t>
  </si>
  <si>
    <t>Elevator</t>
  </si>
  <si>
    <t>UNDERLAYMENT</t>
  </si>
  <si>
    <t>1-1/4" Levelrock Brand Floor Underlayment</t>
  </si>
  <si>
    <t>Underlayment Sub Total</t>
  </si>
  <si>
    <t>Underlayment</t>
  </si>
  <si>
    <r>
      <t xml:space="preserve">Clearing Grubbing
</t>
    </r>
    <r>
      <rPr>
        <b/>
        <sz val="12"/>
        <rFont val="Calibri"/>
        <family val="2"/>
        <scheme val="minor"/>
      </rPr>
      <t>Area in Acres: 0.156</t>
    </r>
    <r>
      <rPr>
        <sz val="12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</si>
  <si>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>Type "A" Inlet</t>
    </r>
    <r>
      <rPr>
        <sz val="12"/>
        <rFont val="Calibri"/>
        <family val="2"/>
        <scheme val="minor"/>
      </rPr>
      <t xml:space="preserve">
-w/ Frame and Grate</t>
    </r>
  </si>
  <si>
    <r>
      <rPr>
        <b/>
        <sz val="12"/>
        <rFont val="Calibri"/>
        <family val="2"/>
        <scheme val="minor"/>
      </rPr>
      <t>Yard Inlet 36"x36"</t>
    </r>
    <r>
      <rPr>
        <sz val="12"/>
        <rFont val="Calibri"/>
        <family val="2"/>
        <scheme val="minor"/>
      </rPr>
      <t xml:space="preserve">
-w/ Frame and Grate</t>
    </r>
  </si>
  <si>
    <r>
      <rPr>
        <b/>
        <sz val="12"/>
        <rFont val="Calibri"/>
        <family val="2"/>
        <scheme val="minor"/>
      </rPr>
      <t>4' Dia Manhole</t>
    </r>
    <r>
      <rPr>
        <sz val="12"/>
        <rFont val="Calibri"/>
        <family val="2"/>
        <scheme val="minor"/>
      </rPr>
      <t xml:space="preserve">
-w/ Frame and Cover</t>
    </r>
  </si>
  <si>
    <r>
      <rPr>
        <b/>
        <sz val="12"/>
        <rFont val="Calibri"/>
        <family val="2"/>
        <scheme val="minor"/>
      </rPr>
      <t>DogHouse Storm 4' Dia Manhole</t>
    </r>
    <r>
      <rPr>
        <sz val="12"/>
        <rFont val="Calibri"/>
        <family val="2"/>
        <scheme val="minor"/>
      </rPr>
      <t xml:space="preserve">
-w/ Frame and Cover</t>
    </r>
  </si>
  <si>
    <t>Date of Submission</t>
  </si>
  <si>
    <t>MEP BID</t>
  </si>
  <si>
    <t>DWG. NO.</t>
  </si>
  <si>
    <t>DETAIL NO.</t>
  </si>
  <si>
    <t>CSI NO.</t>
  </si>
  <si>
    <t>QTY</t>
  </si>
  <si>
    <t>SUB TOTAL</t>
  </si>
  <si>
    <t>21 00 00</t>
  </si>
  <si>
    <t>FIRE SUPPRESSION</t>
  </si>
  <si>
    <t>FIXTURES</t>
  </si>
  <si>
    <t>SPRINKLER HEADS</t>
  </si>
  <si>
    <t>FP100-101</t>
  </si>
  <si>
    <t>Concealed Sprinkler Heads</t>
  </si>
  <si>
    <t>Spare Sprinkler Heads</t>
  </si>
  <si>
    <t>VALVES &amp; MISC. ITEMS</t>
  </si>
  <si>
    <t>FP002</t>
  </si>
  <si>
    <t>Ball Valves</t>
  </si>
  <si>
    <t>Drain Valve</t>
  </si>
  <si>
    <t>3 - Way Globe Valve</t>
  </si>
  <si>
    <t>O.S. &amp; Y Gate Valve - 6"</t>
  </si>
  <si>
    <t>Alarm Valve Assembly</t>
  </si>
  <si>
    <t>Angle Type Drain Valve</t>
  </si>
  <si>
    <t>Pressure Gauges</t>
  </si>
  <si>
    <t>Retarding Chambers</t>
  </si>
  <si>
    <t>Tankless Air Compressor</t>
  </si>
  <si>
    <r>
      <t xml:space="preserve">Dry Sprinkler Valve
</t>
    </r>
    <r>
      <rPr>
        <b/>
        <sz val="12"/>
        <rFont val="Calibri"/>
        <family val="2"/>
        <scheme val="minor"/>
      </rPr>
      <t>Source:</t>
    </r>
    <r>
      <rPr>
        <sz val="12"/>
        <rFont val="Calibri"/>
        <family val="2"/>
        <scheme val="minor"/>
      </rPr>
      <t xml:space="preserve"> Vikings
</t>
    </r>
    <r>
      <rPr>
        <b/>
        <sz val="12"/>
        <rFont val="Calibri"/>
        <family val="2"/>
        <scheme val="minor"/>
      </rPr>
      <t>Model:</t>
    </r>
    <r>
      <rPr>
        <sz val="12"/>
        <rFont val="Calibri"/>
        <family val="2"/>
        <scheme val="minor"/>
      </rPr>
      <t xml:space="preserve"> E</t>
    </r>
  </si>
  <si>
    <t>SWITCHES</t>
  </si>
  <si>
    <t>Alarm Pressure Switch</t>
  </si>
  <si>
    <t>Low Air Pressure Switch</t>
  </si>
  <si>
    <t>Pressure Type Alarm Switch</t>
  </si>
  <si>
    <t>Water Flow Alarm Switch</t>
  </si>
  <si>
    <t>ALLOWANCES</t>
  </si>
  <si>
    <r>
      <t xml:space="preserve">Allowance For Piping, Piping Supports &amp; Sleeves Etc.
</t>
    </r>
    <r>
      <rPr>
        <b/>
        <sz val="12"/>
        <rFont val="Calibri"/>
        <family val="2"/>
      </rPr>
      <t>Sprinkler Piping To Be Schedule 40 Black Steel</t>
    </r>
  </si>
  <si>
    <t>Allowance For Shop Drawing and Design of Fire Sprinkler</t>
  </si>
  <si>
    <t>Fire Suppression Sub Total</t>
  </si>
  <si>
    <t>22 00 00</t>
  </si>
  <si>
    <t>PLUMBING</t>
  </si>
  <si>
    <t>WATER SYSTEM</t>
  </si>
  <si>
    <r>
      <t xml:space="preserve">Piping Material:  
Above Ground: </t>
    </r>
    <r>
      <rPr>
        <sz val="12"/>
        <rFont val="Calibri"/>
        <family val="2"/>
        <scheme val="minor"/>
      </rPr>
      <t>Type L Copper (Assumed)</t>
    </r>
  </si>
  <si>
    <t>HORIZONTAL PIPING</t>
  </si>
  <si>
    <t>ABOVEGROUND PIPING</t>
  </si>
  <si>
    <t>P200-201</t>
  </si>
  <si>
    <t>3/4" Cold Water Line</t>
  </si>
  <si>
    <t>1" Cold Water Line</t>
  </si>
  <si>
    <t>1-1/2" Cold Water Line</t>
  </si>
  <si>
    <t>1-1/4" Cold Water Line</t>
  </si>
  <si>
    <t>2" Cold Water Line</t>
  </si>
  <si>
    <t>6" Cold Water Line</t>
  </si>
  <si>
    <t>3/4" Hot Water Line</t>
  </si>
  <si>
    <t>RISER PIPING</t>
  </si>
  <si>
    <t>1/2" Cold Water Line</t>
  </si>
  <si>
    <t>1/2" Hot Water Line</t>
  </si>
  <si>
    <t>WATER FIXTURES</t>
  </si>
  <si>
    <t>2" RPZ Backflow Preventer</t>
  </si>
  <si>
    <r>
      <t>1" Shutoff Valve</t>
    </r>
    <r>
      <rPr>
        <b/>
        <sz val="12"/>
        <rFont val="Calibri"/>
        <family val="2"/>
        <scheme val="minor"/>
      </rPr>
      <t/>
    </r>
  </si>
  <si>
    <t>3/4" Shutoff Valve</t>
  </si>
  <si>
    <t>Hose Bibs - 3/4"</t>
  </si>
  <si>
    <t>Schd/P002</t>
  </si>
  <si>
    <r>
      <t>Electric Water Heater</t>
    </r>
    <r>
      <rPr>
        <b/>
        <sz val="12"/>
        <rFont val="Calibri"/>
        <family val="2"/>
        <scheme val="minor"/>
      </rPr>
      <t xml:space="preserve"> (EWH-1)
Manufacturer: AO Smith
Model: DRE-52-6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Gallon:</t>
    </r>
    <r>
      <rPr>
        <sz val="12"/>
        <rFont val="Calibri"/>
        <family val="2"/>
        <scheme val="minor"/>
      </rPr>
      <t xml:space="preserve"> 50</t>
    </r>
  </si>
  <si>
    <t>Water Meter</t>
  </si>
  <si>
    <t>WATER HEATER ACCESSORIES</t>
  </si>
  <si>
    <t>P003</t>
  </si>
  <si>
    <t>3/P003</t>
  </si>
  <si>
    <t>Funnel</t>
  </si>
  <si>
    <t>Thermomter</t>
  </si>
  <si>
    <t>Expansion Tank</t>
  </si>
  <si>
    <t>Hose End Drain Valve</t>
  </si>
  <si>
    <t>Temperature &amp; Pressure Relief Valve</t>
  </si>
  <si>
    <t>Drip Pan W/
- 3/4" Min. PVC Drain</t>
  </si>
  <si>
    <t>Floor Drain W/
- Deep Seal Trap</t>
  </si>
  <si>
    <t>FIBERGLASS INSULATION</t>
  </si>
  <si>
    <t>1" Thick Jacketed Fiberglass Pipe Insulation</t>
  </si>
  <si>
    <t>Allowance For Piping Connections, Supports, Sleeves Etc.</t>
  </si>
  <si>
    <t>SANITARY/WASTE SYSTEM</t>
  </si>
  <si>
    <t>Piping Material: Schd 40 PVC (Assumed)</t>
  </si>
  <si>
    <t>GARAGE LEVEL</t>
  </si>
  <si>
    <t>UNDERGROUND PIPING</t>
  </si>
  <si>
    <t>4" Waste Line (Underground)</t>
  </si>
  <si>
    <t>3" Waste Line</t>
  </si>
  <si>
    <t>4" Waste Line</t>
  </si>
  <si>
    <t>3" Vent Line</t>
  </si>
  <si>
    <t>Indirect Waste Pipe</t>
  </si>
  <si>
    <t xml:space="preserve">4" Waste Line </t>
  </si>
  <si>
    <t>2" Vent Line</t>
  </si>
  <si>
    <t>SANITARY FIXTURES</t>
  </si>
  <si>
    <t xml:space="preserve">4" Cleanout </t>
  </si>
  <si>
    <t>Cleanout Deck Plate - 4"</t>
  </si>
  <si>
    <t>Vent Through Roof - 4"</t>
  </si>
  <si>
    <r>
      <t xml:space="preserve">Floor Drain - 3" W/
- Trap 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Jay R. Smith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2010A</t>
    </r>
  </si>
  <si>
    <r>
      <t xml:space="preserve">Water Closet </t>
    </r>
    <r>
      <rPr>
        <b/>
        <sz val="12"/>
        <rFont val="Calibri"/>
        <family val="2"/>
        <scheme val="minor"/>
      </rPr>
      <t xml:space="preserve">(WC) </t>
    </r>
    <r>
      <rPr>
        <sz val="12"/>
        <rFont val="Calibri"/>
        <family val="2"/>
        <scheme val="minor"/>
      </rPr>
      <t xml:space="preserve">W/
- All Accessories 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Kohler 
</t>
    </r>
    <r>
      <rPr>
        <b/>
        <sz val="12"/>
        <rFont val="Calibri"/>
        <family val="2"/>
        <scheme val="minor"/>
      </rPr>
      <t>Model:</t>
    </r>
    <r>
      <rPr>
        <sz val="12"/>
        <rFont val="Calibri"/>
        <family val="2"/>
        <scheme val="minor"/>
      </rPr>
      <t xml:space="preserve"> K-3999-0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Linen White</t>
    </r>
  </si>
  <si>
    <r>
      <t xml:space="preserve">Lavatory </t>
    </r>
    <r>
      <rPr>
        <b/>
        <sz val="12"/>
        <rFont val="Calibri"/>
        <family val="2"/>
        <scheme val="minor"/>
      </rPr>
      <t>(LAV)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Fine Fixtures Modena Vanity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-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Gray Oak</t>
    </r>
  </si>
  <si>
    <r>
      <t xml:space="preserve">Lavatory Faucet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Delta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559LF-LPU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Chrome</t>
    </r>
  </si>
  <si>
    <r>
      <t xml:space="preserve">Bath Tub </t>
    </r>
    <r>
      <rPr>
        <b/>
        <sz val="12"/>
        <rFont val="Calibri"/>
        <family val="2"/>
        <scheme val="minor"/>
      </rPr>
      <t>(TUB)</t>
    </r>
    <r>
      <rPr>
        <sz val="12"/>
        <rFont val="Calibri"/>
        <family val="2"/>
        <scheme val="minor"/>
      </rPr>
      <t xml:space="preserve"> W/
- All Accessories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Maax Professional SER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Rubix 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 xml:space="preserve">White 
</t>
    </r>
    <r>
      <rPr>
        <b/>
        <sz val="12"/>
        <rFont val="Calibri"/>
        <family val="2"/>
        <scheme val="minor"/>
      </rPr>
      <t xml:space="preserve">Size: </t>
    </r>
    <r>
      <rPr>
        <sz val="12"/>
        <rFont val="Calibri"/>
        <family val="2"/>
        <scheme val="minor"/>
      </rPr>
      <t>30"X60"</t>
    </r>
  </si>
  <si>
    <r>
      <t xml:space="preserve">Tub Trims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Delta  </t>
    </r>
    <r>
      <rPr>
        <b/>
        <sz val="12"/>
        <rFont val="Calibri"/>
        <family val="2"/>
        <scheme val="minor"/>
      </rPr>
      <t xml:space="preserve">
Model:</t>
    </r>
    <r>
      <rPr>
        <sz val="12"/>
        <rFont val="Calibri"/>
        <family val="2"/>
        <scheme val="minor"/>
      </rPr>
      <t xml:space="preserve"> Trinsic Monitor 17</t>
    </r>
    <r>
      <rPr>
        <b/>
        <sz val="12"/>
        <rFont val="Calibri"/>
        <family val="2"/>
        <scheme val="minor"/>
      </rPr>
      <t xml:space="preserve">
Series:</t>
    </r>
    <r>
      <rPr>
        <sz val="12"/>
        <rFont val="Calibri"/>
        <family val="2"/>
        <scheme val="minor"/>
      </rPr>
      <t xml:space="preserve"> H2</t>
    </r>
  </si>
  <si>
    <r>
      <t>Shower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Pan</t>
    </r>
    <r>
      <rPr>
        <b/>
        <sz val="12"/>
        <rFont val="Calibri"/>
        <family val="2"/>
        <scheme val="minor"/>
      </rPr>
      <t xml:space="preserve"> (SH) </t>
    </r>
    <r>
      <rPr>
        <sz val="12"/>
        <rFont val="Calibri"/>
        <family val="2"/>
        <scheme val="minor"/>
      </rPr>
      <t xml:space="preserve">W/
- All Accessories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Kohler 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K-1936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 xml:space="preserve">White
</t>
    </r>
    <r>
      <rPr>
        <b/>
        <sz val="12"/>
        <rFont val="Calibri"/>
        <family val="2"/>
        <scheme val="minor"/>
      </rPr>
      <t xml:space="preserve">Size: </t>
    </r>
    <r>
      <rPr>
        <sz val="12"/>
        <rFont val="Calibri"/>
        <family val="2"/>
        <scheme val="minor"/>
      </rPr>
      <t>32"X60"</t>
    </r>
  </si>
  <si>
    <r>
      <t xml:space="preserve">Shower Head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Delta 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Trinsic Monitor 17
</t>
    </r>
    <r>
      <rPr>
        <b/>
        <sz val="12"/>
        <rFont val="Calibri"/>
        <family val="2"/>
        <scheme val="minor"/>
      </rPr>
      <t xml:space="preserve">Series: </t>
    </r>
    <r>
      <rPr>
        <sz val="12"/>
        <rFont val="Calibri"/>
        <family val="2"/>
        <scheme val="minor"/>
      </rPr>
      <t>H2</t>
    </r>
    <r>
      <rPr>
        <b/>
        <sz val="12"/>
        <rFont val="Calibri"/>
        <family val="2"/>
        <scheme val="minor"/>
      </rPr>
      <t/>
    </r>
  </si>
  <si>
    <r>
      <t xml:space="preserve">Kitchen Sink </t>
    </r>
    <r>
      <rPr>
        <b/>
        <sz val="12"/>
        <rFont val="Calibri"/>
        <family val="2"/>
        <scheme val="minor"/>
      </rPr>
      <t xml:space="preserve">(SK) </t>
    </r>
    <r>
      <rPr>
        <sz val="12"/>
        <rFont val="Calibri"/>
        <family val="2"/>
        <scheme val="minor"/>
      </rPr>
      <t xml:space="preserve">W/
- All Accessories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Kruas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KHU101-23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 xml:space="preserve">Stainless Steel 
</t>
    </r>
    <r>
      <rPr>
        <b/>
        <sz val="12"/>
        <rFont val="Calibri"/>
        <family val="2"/>
        <scheme val="minor"/>
      </rPr>
      <t xml:space="preserve">Size: </t>
    </r>
    <r>
      <rPr>
        <sz val="12"/>
        <rFont val="Calibri"/>
        <family val="2"/>
        <scheme val="minor"/>
      </rPr>
      <t>27"X22"</t>
    </r>
  </si>
  <si>
    <r>
      <rPr>
        <b/>
        <sz val="12"/>
        <rFont val="Calibri"/>
        <family val="2"/>
        <scheme val="minor"/>
      </rPr>
      <t xml:space="preserve">Washing Machine Box (WM) </t>
    </r>
    <r>
      <rPr>
        <sz val="12"/>
        <rFont val="Calibri"/>
        <family val="2"/>
        <scheme val="minor"/>
      </rPr>
      <t>W/
- All Accessories</t>
    </r>
  </si>
  <si>
    <r>
      <t xml:space="preserve">Elevator Sump Pump </t>
    </r>
    <r>
      <rPr>
        <b/>
        <sz val="12"/>
        <rFont val="Calibri"/>
        <family val="2"/>
        <scheme val="minor"/>
      </rPr>
      <t>(EP-1)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Zoeller Oil Guard System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940-0008
</t>
    </r>
    <r>
      <rPr>
        <b/>
        <sz val="12"/>
        <rFont val="Calibri"/>
        <family val="2"/>
        <scheme val="minor"/>
      </rPr>
      <t/>
    </r>
  </si>
  <si>
    <t>TRENCHING</t>
  </si>
  <si>
    <r>
      <t xml:space="preserve">Trenching For Underground Sanitary Pipings
</t>
    </r>
    <r>
      <rPr>
        <b/>
        <sz val="12"/>
        <rFont val="Calibri"/>
        <family val="2"/>
        <scheme val="minor"/>
      </rPr>
      <t>Width: 3'-0"
Depth: 4'-0"</t>
    </r>
  </si>
  <si>
    <t>Allowance For Piping Connections, Supports &amp; Sleeves Etc.</t>
  </si>
  <si>
    <t>STORM SYSTEM</t>
  </si>
  <si>
    <t>P100</t>
  </si>
  <si>
    <t>4" Storm Line (Underground)</t>
  </si>
  <si>
    <t>6" Storm Line (Underground)</t>
  </si>
  <si>
    <t>4" Storm Line</t>
  </si>
  <si>
    <t>RISER</t>
  </si>
  <si>
    <t>P301</t>
  </si>
  <si>
    <t xml:space="preserve">4" Storm Line </t>
  </si>
  <si>
    <t>STORM FIXTURES</t>
  </si>
  <si>
    <t>4" Cleanout</t>
  </si>
  <si>
    <r>
      <t xml:space="preserve">Trenching For Underground StormPipings
</t>
    </r>
    <r>
      <rPr>
        <b/>
        <sz val="12"/>
        <rFont val="Calibri"/>
        <family val="2"/>
        <scheme val="minor"/>
      </rPr>
      <t>Width: 3'-0"
Depth: 4'-0"</t>
    </r>
  </si>
  <si>
    <t>Allowance For Piping Connections, Supports and Sleeves Etc.</t>
  </si>
  <si>
    <t>23 00 00</t>
  </si>
  <si>
    <t xml:space="preserve">HVAC </t>
  </si>
  <si>
    <t>DUCT</t>
  </si>
  <si>
    <t>HORIZONTAL DUCTS</t>
  </si>
  <si>
    <t>M200-201</t>
  </si>
  <si>
    <t xml:space="preserve">Duct - 4" Dia </t>
  </si>
  <si>
    <t>Duct - 6 x 4</t>
  </si>
  <si>
    <t>Duct - 6 x 6</t>
  </si>
  <si>
    <t>Duct - 8 x 6</t>
  </si>
  <si>
    <t>Duct - 20 x 18</t>
  </si>
  <si>
    <t>VERTICAL DUCTS</t>
  </si>
  <si>
    <t>GOOSENECKS</t>
  </si>
  <si>
    <t xml:space="preserve">Goosenecks - 4" Dia </t>
  </si>
  <si>
    <t>Goosenecks - 8 x 6</t>
  </si>
  <si>
    <t>INTAKE LOUVERS</t>
  </si>
  <si>
    <t>Intake Louver - 36" x 36"</t>
  </si>
  <si>
    <t>Thermostat</t>
  </si>
  <si>
    <t>Fire Damper</t>
  </si>
  <si>
    <t xml:space="preserve">Manual Damper </t>
  </si>
  <si>
    <t xml:space="preserve">Fire Smoke Damper </t>
  </si>
  <si>
    <r>
      <t xml:space="preserve">Wire Mesh Screen
</t>
    </r>
    <r>
      <rPr>
        <b/>
        <sz val="12"/>
        <rFont val="Calibri"/>
        <family val="2"/>
        <scheme val="minor"/>
      </rPr>
      <t>Dimensions: 8x6</t>
    </r>
  </si>
  <si>
    <r>
      <t xml:space="preserve">Wire Mesh Screen
</t>
    </r>
    <r>
      <rPr>
        <b/>
        <sz val="12"/>
        <rFont val="Calibri"/>
        <family val="2"/>
        <scheme val="minor"/>
      </rPr>
      <t>Dimensions: 20x18</t>
    </r>
  </si>
  <si>
    <t>Schd/M300</t>
  </si>
  <si>
    <r>
      <t>Exhaust Fan</t>
    </r>
    <r>
      <rPr>
        <b/>
        <sz val="12"/>
        <rFont val="Calibri"/>
        <family val="2"/>
        <scheme val="minor"/>
      </rPr>
      <t xml:space="preserve"> (EF-1)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Greenheck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SP-B90</t>
    </r>
  </si>
  <si>
    <r>
      <t xml:space="preserve">Exhaust Fan </t>
    </r>
    <r>
      <rPr>
        <b/>
        <sz val="12"/>
        <rFont val="Calibri"/>
        <family val="2"/>
        <scheme val="minor"/>
      </rPr>
      <t xml:space="preserve">(EF-2)
Manuf: </t>
    </r>
    <r>
      <rPr>
        <sz val="12"/>
        <rFont val="Calibri"/>
        <family val="2"/>
        <scheme val="minor"/>
      </rPr>
      <t>Greenheck</t>
    </r>
    <r>
      <rPr>
        <b/>
        <sz val="12"/>
        <rFont val="Calibri"/>
        <family val="2"/>
        <scheme val="minor"/>
      </rPr>
      <t xml:space="preserve">
Model: </t>
    </r>
    <r>
      <rPr>
        <sz val="12"/>
        <rFont val="Calibri"/>
        <family val="2"/>
        <scheme val="minor"/>
      </rPr>
      <t>SP-B150</t>
    </r>
  </si>
  <si>
    <r>
      <t xml:space="preserve">Jetvent Fan </t>
    </r>
    <r>
      <rPr>
        <b/>
        <sz val="12"/>
        <rFont val="Calibri"/>
        <family val="2"/>
        <scheme val="minor"/>
      </rPr>
      <t>(CO)
Model: Sen-CO</t>
    </r>
  </si>
  <si>
    <r>
      <t xml:space="preserve">Jetvent Fan </t>
    </r>
    <r>
      <rPr>
        <b/>
        <sz val="12"/>
        <rFont val="Calibri"/>
        <family val="2"/>
        <scheme val="minor"/>
      </rPr>
      <t>(NO2)
Model: Sen-NO2</t>
    </r>
  </si>
  <si>
    <r>
      <t xml:space="preserve">Unit Heater </t>
    </r>
    <r>
      <rPr>
        <b/>
        <sz val="12"/>
        <rFont val="Calibri"/>
        <family val="2"/>
        <scheme val="minor"/>
      </rPr>
      <t xml:space="preserve">(UH- 1)
Manuf: </t>
    </r>
    <r>
      <rPr>
        <sz val="12"/>
        <rFont val="Calibri"/>
        <family val="2"/>
        <scheme val="minor"/>
      </rPr>
      <t>Qmark</t>
    </r>
    <r>
      <rPr>
        <b/>
        <sz val="12"/>
        <rFont val="Calibri"/>
        <family val="2"/>
        <scheme val="minor"/>
      </rPr>
      <t xml:space="preserve">
Model: </t>
    </r>
    <r>
      <rPr>
        <sz val="12"/>
        <rFont val="Calibri"/>
        <family val="2"/>
        <scheme val="minor"/>
      </rPr>
      <t>MWUH5004</t>
    </r>
  </si>
  <si>
    <r>
      <t xml:space="preserve">Registers </t>
    </r>
    <r>
      <rPr>
        <b/>
        <sz val="12"/>
        <rFont val="Calibri"/>
        <family val="2"/>
        <scheme val="minor"/>
      </rPr>
      <t>(C- 1)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>Carnes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SPRB</t>
    </r>
  </si>
  <si>
    <r>
      <t xml:space="preserve">Wall Unit Heater </t>
    </r>
    <r>
      <rPr>
        <b/>
        <sz val="12"/>
        <rFont val="Calibri"/>
        <family val="2"/>
        <scheme val="minor"/>
      </rPr>
      <t>(WUH- 1)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QMark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LFK404F</t>
    </r>
  </si>
  <si>
    <r>
      <t xml:space="preserve">Electric Baseboad Heaters </t>
    </r>
    <r>
      <rPr>
        <b/>
        <sz val="12"/>
        <rFont val="Calibri"/>
        <family val="2"/>
        <scheme val="minor"/>
      </rPr>
      <t>(EBH-1)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Markel
</t>
    </r>
    <r>
      <rPr>
        <b/>
        <sz val="12"/>
        <rFont val="Calibri"/>
        <family val="2"/>
        <scheme val="minor"/>
      </rPr>
      <t xml:space="preserve">Series: </t>
    </r>
    <r>
      <rPr>
        <sz val="12"/>
        <rFont val="Calibri"/>
        <family val="2"/>
        <scheme val="minor"/>
      </rPr>
      <t xml:space="preserve">2900 S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F2903-024S</t>
    </r>
  </si>
  <si>
    <r>
      <t>Garage Exhaust Fan</t>
    </r>
    <r>
      <rPr>
        <b/>
        <sz val="12"/>
        <rFont val="Calibri"/>
        <family val="2"/>
        <scheme val="minor"/>
      </rPr>
      <t xml:space="preserve"> (GEF-1)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Greenheck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G-143-VG</t>
    </r>
  </si>
  <si>
    <r>
      <t>Garage Exhaust Fan</t>
    </r>
    <r>
      <rPr>
        <b/>
        <sz val="12"/>
        <rFont val="Calibri"/>
        <family val="2"/>
        <scheme val="minor"/>
      </rPr>
      <t xml:space="preserve"> (GEF-2)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Greenheck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G-097-VG</t>
    </r>
  </si>
  <si>
    <r>
      <t>Trash Room Exhaust Fan</t>
    </r>
    <r>
      <rPr>
        <b/>
        <sz val="12"/>
        <rFont val="Calibri"/>
        <family val="2"/>
        <scheme val="minor"/>
      </rPr>
      <t xml:space="preserve"> (TREF-1)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Greenheck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CUG-060-VG</t>
    </r>
  </si>
  <si>
    <r>
      <t xml:space="preserve">Indoor Cooling Units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Mitsubushi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NTXWPH06A112A</t>
    </r>
  </si>
  <si>
    <r>
      <t xml:space="preserve">Indoor Cooling Units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Mitsubushi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NTXWPH09A112A</t>
    </r>
  </si>
  <si>
    <r>
      <t xml:space="preserve">Indoor Cooling Units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Mitsubushi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NTXWPH12A112A</t>
    </r>
  </si>
  <si>
    <r>
      <t xml:space="preserve">Indoor Cooling Units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Mitsubushi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NTCKS09A112A</t>
    </r>
  </si>
  <si>
    <r>
      <t xml:space="preserve">Outdoor Cooling Units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Mitsubushi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NTXMPH24A132AA</t>
    </r>
  </si>
  <si>
    <r>
      <t xml:space="preserve">Outdoor Cooling Units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Mitsubushi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NTXMPH36A142AA</t>
    </r>
  </si>
  <si>
    <r>
      <t xml:space="preserve">Outdoor Cooling Units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 xml:space="preserve">Mitsubushi 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>NTXSKS09A112A</t>
    </r>
  </si>
  <si>
    <t>CONDENSATE PIPING</t>
  </si>
  <si>
    <t>Condensate Pipe - 1 1/4"</t>
  </si>
  <si>
    <t>Condensate Pipe Riser  - 1 1/4"</t>
  </si>
  <si>
    <t>INSULATON</t>
  </si>
  <si>
    <t>Insulation For Ducts</t>
  </si>
  <si>
    <t>Insulation For Condesnate Piping</t>
  </si>
  <si>
    <t>Allowance For Duct Connections, Duct Supports Etc.</t>
  </si>
  <si>
    <t>Allowance For Sealing Of All Penetrations</t>
  </si>
  <si>
    <t>HVAC Sub Total</t>
  </si>
  <si>
    <t>26 00 00</t>
  </si>
  <si>
    <t>ELECTRICAL</t>
  </si>
  <si>
    <t>LIGHT FIXTURES</t>
  </si>
  <si>
    <t>E100</t>
  </si>
  <si>
    <r>
      <rPr>
        <b/>
        <sz val="12"/>
        <rFont val="Calibri"/>
        <family val="2"/>
        <scheme val="minor"/>
      </rPr>
      <t>Light Fixture L1</t>
    </r>
    <r>
      <rPr>
        <sz val="12"/>
        <rFont val="Calibri"/>
        <family val="2"/>
        <scheme val="minor"/>
      </rPr>
      <t xml:space="preserve">
Catalog #: LS1-EG3-4-LED-4L-CA-S-UNV-DIM-40-80</t>
    </r>
  </si>
  <si>
    <r>
      <rPr>
        <b/>
        <sz val="12"/>
        <rFont val="Calibri"/>
        <family val="2"/>
        <scheme val="minor"/>
      </rPr>
      <t>Light Fixture L2</t>
    </r>
    <r>
      <rPr>
        <sz val="12"/>
        <rFont val="Calibri"/>
        <family val="2"/>
        <scheme val="minor"/>
      </rPr>
      <t xml:space="preserve">
Catalog #: LS1-EG3-4-LED-6L-CA-S-UNV-DIM-40-80</t>
    </r>
  </si>
  <si>
    <r>
      <rPr>
        <b/>
        <sz val="12"/>
        <rFont val="Calibri"/>
        <family val="2"/>
        <scheme val="minor"/>
      </rPr>
      <t>Light Fixture L3</t>
    </r>
    <r>
      <rPr>
        <sz val="12"/>
        <rFont val="Calibri"/>
        <family val="2"/>
        <scheme val="minor"/>
      </rPr>
      <t xml:space="preserve">
Catalog #: LUMAX VWBTLED-60L-30K-48-9-FD-WD-V8</t>
    </r>
  </si>
  <si>
    <r>
      <rPr>
        <b/>
        <sz val="12"/>
        <rFont val="Calibri"/>
        <family val="2"/>
        <scheme val="minor"/>
      </rPr>
      <t>Light Fixture L4</t>
    </r>
    <r>
      <rPr>
        <sz val="12"/>
        <rFont val="Calibri"/>
        <family val="2"/>
        <scheme val="minor"/>
      </rPr>
      <t xml:space="preserve">
Catalog #: RENOVA SWA-4-N-L040-UNV-DM-C35-AF-TW</t>
    </r>
  </si>
  <si>
    <r>
      <rPr>
        <b/>
        <sz val="12"/>
        <rFont val="Calibri"/>
        <family val="2"/>
        <scheme val="minor"/>
      </rPr>
      <t>Light Fixture L5</t>
    </r>
    <r>
      <rPr>
        <sz val="12"/>
        <rFont val="Calibri"/>
        <family val="2"/>
        <scheme val="minor"/>
      </rPr>
      <t xml:space="preserve">
Catalog #: PLURA FLUSH MOUNT PART #08-100-18-W-F-35-P1</t>
    </r>
  </si>
  <si>
    <r>
      <rPr>
        <b/>
        <sz val="12"/>
        <rFont val="Calibri"/>
        <family val="2"/>
        <scheme val="minor"/>
      </rPr>
      <t>Light Fixture L6</t>
    </r>
    <r>
      <rPr>
        <sz val="12"/>
        <rFont val="Calibri"/>
        <family val="2"/>
        <scheme val="minor"/>
      </rPr>
      <t xml:space="preserve">
Catalog #: SATCO S29323 10.5W/LEDW5.5"FLUSH/30K/RD/WH</t>
    </r>
  </si>
  <si>
    <r>
      <rPr>
        <b/>
        <sz val="12"/>
        <rFont val="Calibri"/>
        <family val="2"/>
        <scheme val="minor"/>
      </rPr>
      <t>Light Fixture P1</t>
    </r>
    <r>
      <rPr>
        <sz val="12"/>
        <rFont val="Calibri"/>
        <family val="2"/>
        <scheme val="minor"/>
      </rPr>
      <t xml:space="preserve">
Catalog #: BOYD 10620 HOOPLA PENDANT I, 16" STANDARD</t>
    </r>
  </si>
  <si>
    <r>
      <rPr>
        <b/>
        <sz val="12"/>
        <rFont val="Calibri"/>
        <family val="2"/>
        <scheme val="minor"/>
      </rPr>
      <t>Light Fixture P2</t>
    </r>
    <r>
      <rPr>
        <sz val="12"/>
        <rFont val="Calibri"/>
        <family val="2"/>
        <scheme val="minor"/>
      </rPr>
      <t xml:space="preserve">
Catalog #: BOYD 10620 HOOPLA PENDANT II, 24" STANDARD</t>
    </r>
  </si>
  <si>
    <r>
      <rPr>
        <b/>
        <sz val="12"/>
        <rFont val="Calibri"/>
        <family val="2"/>
        <scheme val="minor"/>
      </rPr>
      <t>Light Fixture R1</t>
    </r>
    <r>
      <rPr>
        <sz val="12"/>
        <rFont val="Calibri"/>
        <family val="2"/>
        <scheme val="minor"/>
      </rPr>
      <t xml:space="preserve">
Catalog #: LITON LHAJLDQ6-35C105-BLANK-B60-T35-LRAQ621W</t>
    </r>
  </si>
  <si>
    <r>
      <rPr>
        <b/>
        <sz val="12"/>
        <rFont val="Calibri"/>
        <family val="2"/>
        <scheme val="minor"/>
      </rPr>
      <t>Light Fixture R2</t>
    </r>
    <r>
      <rPr>
        <sz val="12"/>
        <rFont val="Calibri"/>
        <family val="2"/>
        <scheme val="minor"/>
      </rPr>
      <t xml:space="preserve">
Catalog #: GOTHAM EV06SH-35-10-DFF-SMO-MVOLT-EZ10-V8</t>
    </r>
  </si>
  <si>
    <r>
      <rPr>
        <b/>
        <sz val="12"/>
        <rFont val="Calibri"/>
        <family val="2"/>
        <scheme val="minor"/>
      </rPr>
      <t>Light Fixture R3</t>
    </r>
    <r>
      <rPr>
        <sz val="12"/>
        <rFont val="Calibri"/>
        <family val="2"/>
        <scheme val="minor"/>
      </rPr>
      <t xml:space="preserve">
Catalog #: JUNO-JSF-5IN 07LM-27K-90CRI-120FRPC-WH</t>
    </r>
  </si>
  <si>
    <r>
      <rPr>
        <b/>
        <sz val="12"/>
        <rFont val="Calibri"/>
        <family val="2"/>
        <scheme val="minor"/>
      </rPr>
      <t>Light Fixture S1</t>
    </r>
    <r>
      <rPr>
        <sz val="12"/>
        <rFont val="Calibri"/>
        <family val="2"/>
        <scheme val="minor"/>
      </rPr>
      <t xml:space="preserve">
Catalog #: MODERN FORMS -LED 24" FORQ </t>
    </r>
  </si>
  <si>
    <r>
      <rPr>
        <b/>
        <sz val="12"/>
        <rFont val="Calibri"/>
        <family val="2"/>
        <scheme val="minor"/>
      </rPr>
      <t>Light Fixture S2</t>
    </r>
    <r>
      <rPr>
        <sz val="12"/>
        <rFont val="Calibri"/>
        <family val="2"/>
        <scheme val="minor"/>
      </rPr>
      <t xml:space="preserve">
Catalog #: WAC LIGHTING WP-LED430-30W-W0-aBK</t>
    </r>
  </si>
  <si>
    <r>
      <rPr>
        <b/>
        <sz val="12"/>
        <rFont val="Calibri"/>
        <family val="2"/>
        <scheme val="minor"/>
      </rPr>
      <t>Light Fixture S3</t>
    </r>
    <r>
      <rPr>
        <sz val="12"/>
        <rFont val="Calibri"/>
        <family val="2"/>
        <scheme val="minor"/>
      </rPr>
      <t xml:space="preserve">
Catalog #: MAXIM LIGHTING-52002PC</t>
    </r>
  </si>
  <si>
    <t>Occupancy Sensor</t>
  </si>
  <si>
    <t>Security Cameras</t>
  </si>
  <si>
    <t>Switch</t>
  </si>
  <si>
    <t>Three Way Switch</t>
  </si>
  <si>
    <t>Wet Location Thermoplastic Sign
Catalog #: ISOLITE RWL-EM-R-S/D-UN-WH-SD-VOLTS-V8</t>
  </si>
  <si>
    <t>Edge Lit LED Sign W/
- Emergency Lights
Catalog #: DCL-R-S-BA-BA-MTEBP</t>
  </si>
  <si>
    <t>Wall Mounted Emergency Light W/
- Battery Backup
Catalog #: ISOLITE RL2LED-4-WH-MBC-SD-V8</t>
  </si>
  <si>
    <t>POWER FIXTURES</t>
  </si>
  <si>
    <t>E200-201</t>
  </si>
  <si>
    <t>100 Ampere Switch W/
- 100 Ampere Fuse</t>
  </si>
  <si>
    <t>20 Ampere Switch W/ 
- 15 Ampere Fuse</t>
  </si>
  <si>
    <t>Disconnect Panel</t>
  </si>
  <si>
    <t>Fire Alarm Panel</t>
  </si>
  <si>
    <t>Fused Disconnect Switches</t>
  </si>
  <si>
    <t>GFCI Receptacle (Waterproof)</t>
  </si>
  <si>
    <t>GFI Receptacle</t>
  </si>
  <si>
    <t>Junction Box</t>
  </si>
  <si>
    <t>Meter Center Panel</t>
  </si>
  <si>
    <t>Service Rated Disconnect Panel</t>
  </si>
  <si>
    <t>Smoke/Carbon Monoxide Detector</t>
  </si>
  <si>
    <t>Special Electrical Outlet</t>
  </si>
  <si>
    <t>Wall Mounted Data Outlet Backbox</t>
  </si>
  <si>
    <t>Wall Mounted Duplex Electrical Outlet</t>
  </si>
  <si>
    <t>Wall Mounted Shared Telephone And Data Outlet</t>
  </si>
  <si>
    <t>PANELS AND BREAKERS</t>
  </si>
  <si>
    <t>E400</t>
  </si>
  <si>
    <r>
      <t xml:space="preserve">Main Panel 
</t>
    </r>
    <r>
      <rPr>
        <b/>
        <sz val="12"/>
        <rFont val="Calibri"/>
        <family val="2"/>
      </rPr>
      <t>Specs: 208/120, 3 Phase 4 Wired</t>
    </r>
  </si>
  <si>
    <r>
      <t xml:space="preserve">Unit Panels
</t>
    </r>
    <r>
      <rPr>
        <b/>
        <sz val="12"/>
        <rFont val="Calibri"/>
        <family val="2"/>
      </rPr>
      <t>Specs: 208/120, 1 Phase 3 Wired</t>
    </r>
  </si>
  <si>
    <t>Circuit Breaker 20A/1 Pole</t>
  </si>
  <si>
    <t>Circuit Breaker 20A/2 Pole</t>
  </si>
  <si>
    <t>Circuit Breaker 30A/2 Pole</t>
  </si>
  <si>
    <t>Circuit Breaker 40A/1 Pole</t>
  </si>
  <si>
    <t>Circuit Breaker 40A/2 Pole</t>
  </si>
  <si>
    <t>Circuit Breaker 55A/2 Pole</t>
  </si>
  <si>
    <t>Circuit Breaker 100A/3 Pole</t>
  </si>
  <si>
    <t>Tap Box 600A</t>
  </si>
  <si>
    <t>Electricity Meter</t>
  </si>
  <si>
    <t>Amper Switch 200A W/
- Amper Fuse 200A</t>
  </si>
  <si>
    <t>Amper Switch 600A W/
- Amper Fuse 600A</t>
  </si>
  <si>
    <t>Allowance For Grounding</t>
  </si>
  <si>
    <t>Allowance For Wiring and Conduits</t>
  </si>
  <si>
    <t>Electrical Sub Total</t>
  </si>
  <si>
    <t>TOTAL BASE BID - MEP</t>
  </si>
  <si>
    <t>EXCLUSIONS:</t>
  </si>
  <si>
    <t>Sales Tax</t>
  </si>
  <si>
    <t>Salex Tax</t>
  </si>
  <si>
    <r>
      <t xml:space="preserve">Trusses
</t>
    </r>
    <r>
      <rPr>
        <b/>
        <sz val="12"/>
        <rFont val="Calibri"/>
        <family val="2"/>
        <scheme val="minor"/>
      </rPr>
      <t>Refer to "Trusses" for detailed estiamte</t>
    </r>
  </si>
  <si>
    <r>
      <t xml:space="preserve">Lumber
</t>
    </r>
    <r>
      <rPr>
        <b/>
        <sz val="12"/>
        <rFont val="Calibri"/>
        <family val="2"/>
        <scheme val="minor"/>
      </rPr>
      <t>Refer to "Detailed Lumber Order List" for detailed estiamte</t>
    </r>
  </si>
  <si>
    <t>Shoring</t>
  </si>
  <si>
    <t>Base Plate W/ Anchor Bolts 
- Grout</t>
  </si>
  <si>
    <t>STRUCTURAL FRAMING</t>
  </si>
  <si>
    <t>Structural Framing Sub Total</t>
  </si>
  <si>
    <t>W-COLUMNS</t>
  </si>
  <si>
    <t>W-BEAMS</t>
  </si>
  <si>
    <t>PLATES</t>
  </si>
  <si>
    <t>BEAM POCKETS PLATES</t>
  </si>
  <si>
    <t>W10x33</t>
  </si>
  <si>
    <t>W14x22</t>
  </si>
  <si>
    <t>W16x31</t>
  </si>
  <si>
    <t>W21x44</t>
  </si>
  <si>
    <t>W21x68</t>
  </si>
  <si>
    <t>W8x24 Hoist Beam</t>
  </si>
  <si>
    <t>(4) 3/4" Dia. F1554 Anchor Bolts Embeded</t>
  </si>
  <si>
    <t>ANCHOR BOLTS</t>
  </si>
  <si>
    <t>(2) 1/2"X5" Long Headed Studs</t>
  </si>
  <si>
    <t>Base Plate
Size: 16" x 16" x 1"</t>
  </si>
  <si>
    <t>Bearing Plate
Size: 8" x 7" x 1"</t>
  </si>
  <si>
    <t>Bearing Plate
Size: 8" x 6" x 1/2"</t>
  </si>
  <si>
    <t>L5x5x3/8</t>
  </si>
  <si>
    <t>STEEL ANGLE/LOOSE LINTELS</t>
  </si>
  <si>
    <t>L5x3-1/2x5/16</t>
  </si>
  <si>
    <t>Allowance For Misc. Steel</t>
  </si>
  <si>
    <t xml:space="preserve">ALLOWANCE </t>
  </si>
  <si>
    <t>Allowance For Hardware</t>
  </si>
  <si>
    <t>Structural Steel</t>
  </si>
  <si>
    <t>Plumbing Sub Total</t>
  </si>
  <si>
    <t>TRASH BINS</t>
  </si>
  <si>
    <t>Trash Bins</t>
  </si>
  <si>
    <t>Trash Bins Sub Total</t>
  </si>
  <si>
    <r>
      <t xml:space="preserve">Trash Bins
Size: </t>
    </r>
    <r>
      <rPr>
        <sz val="12"/>
        <rFont val="Calibri"/>
        <family val="2"/>
        <scheme val="minor"/>
      </rPr>
      <t>3'-6" x 3'-6"</t>
    </r>
  </si>
  <si>
    <r>
      <rPr>
        <b/>
        <sz val="12"/>
        <rFont val="Calibri"/>
        <family val="2"/>
        <scheme val="minor"/>
      </rPr>
      <t>Toilet Paper Holder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DELTA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TRILLIAN 74355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Chrome</t>
    </r>
  </si>
  <si>
    <r>
      <rPr>
        <b/>
        <sz val="12"/>
        <rFont val="Calibri"/>
        <family val="2"/>
        <scheme val="minor"/>
      </rPr>
      <t>Mirror Medicine Cabinet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KOHLER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K-11808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CA1
Size: 26" H x 15" W</t>
    </r>
  </si>
  <si>
    <r>
      <rPr>
        <b/>
        <sz val="12"/>
        <rFont val="Calibri"/>
        <family val="2"/>
        <scheme val="minor"/>
      </rPr>
      <t>Robe Hook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DELTA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TRINSIC 75935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Chrome</t>
    </r>
  </si>
  <si>
    <r>
      <rPr>
        <b/>
        <sz val="12"/>
        <rFont val="Calibri"/>
        <family val="2"/>
        <scheme val="minor"/>
      </rPr>
      <t>18" Towel Bar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DELTA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TRINSIC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Chrome</t>
    </r>
  </si>
  <si>
    <r>
      <rPr>
        <b/>
        <sz val="12"/>
        <rFont val="Calibri"/>
        <family val="2"/>
        <scheme val="minor"/>
      </rPr>
      <t>Shower Rod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KOHLER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Expanse K-9349-S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Polished SS</t>
    </r>
  </si>
  <si>
    <r>
      <rPr>
        <b/>
        <sz val="12"/>
        <rFont val="Calibri"/>
        <family val="2"/>
        <scheme val="minor"/>
      </rPr>
      <t>Shower Door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KOHLER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LEVITY K-706012-L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Polished SS</t>
    </r>
  </si>
  <si>
    <t>Schedule/A703</t>
  </si>
  <si>
    <t>2x Blocking @ Millwork</t>
  </si>
  <si>
    <t>Metal Blocking Sub Total</t>
  </si>
  <si>
    <t>METAL BLOCKING</t>
  </si>
  <si>
    <t>1'-0" High 20GA. Sheet Blocking W/
- (2) 1-1/2" Galv. Roofing Nails</t>
  </si>
  <si>
    <t>1'-6" High 20GA. Sheet Blocking W/
- (2) 1-1/2" Galv. Roofing Nails</t>
  </si>
  <si>
    <t>0'-8" High 20GA. Sheet Blocking W/
- (2) 1-1/2" Galv. Roofing Nails</t>
  </si>
  <si>
    <t>Metal Blocking</t>
  </si>
  <si>
    <r>
      <rPr>
        <b/>
        <sz val="12"/>
        <rFont val="Calibri"/>
        <family val="2"/>
        <scheme val="minor"/>
      </rPr>
      <t>EQ-1 
Description:</t>
    </r>
    <r>
      <rPr>
        <sz val="12"/>
        <rFont val="Calibri"/>
        <family val="2"/>
        <scheme val="minor"/>
      </rPr>
      <t xml:space="preserve"> Freestanding  Electric Radiant Smooth Cooktop Range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GE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JB655YKFS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Stainless Steel</t>
    </r>
  </si>
  <si>
    <r>
      <rPr>
        <b/>
        <sz val="12"/>
        <rFont val="Calibri"/>
        <family val="2"/>
        <scheme val="minor"/>
      </rPr>
      <t>EQ-3
Description:</t>
    </r>
    <r>
      <rPr>
        <sz val="12"/>
        <rFont val="Calibri"/>
        <family val="2"/>
        <scheme val="minor"/>
      </rPr>
      <t xml:space="preserve"> Dishwasher W/ Front Controls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GE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GDF530PSPSS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Stainless Steel</t>
    </r>
  </si>
  <si>
    <r>
      <rPr>
        <b/>
        <sz val="12"/>
        <rFont val="Calibri"/>
        <family val="2"/>
        <scheme val="minor"/>
      </rPr>
      <t>EQ-5
Description:</t>
    </r>
    <r>
      <rPr>
        <sz val="12"/>
        <rFont val="Calibri"/>
        <family val="2"/>
        <scheme val="minor"/>
      </rPr>
      <t xml:space="preserve"> 16.6 Ft3 Top-Freezer Refrigerator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GE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GTS17GTN/GSN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Stainless Steel</t>
    </r>
  </si>
  <si>
    <r>
      <rPr>
        <b/>
        <sz val="12"/>
        <rFont val="Calibri"/>
        <family val="2"/>
        <scheme val="minor"/>
      </rPr>
      <t>EQ-4
Description:</t>
    </r>
    <r>
      <rPr>
        <sz val="12"/>
        <rFont val="Calibri"/>
        <family val="2"/>
        <scheme val="minor"/>
      </rPr>
      <t xml:space="preserve"> 1.9 Ft3 Over Range Sensor Microwave With Recirculating 
Vent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GE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JNM7196SK/BL/FL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Stainless Steel</t>
    </r>
  </si>
  <si>
    <r>
      <rPr>
        <b/>
        <sz val="12"/>
        <rFont val="Calibri"/>
        <family val="2"/>
        <scheme val="minor"/>
      </rPr>
      <t>EQ-6
Description:</t>
    </r>
    <r>
      <rPr>
        <sz val="12"/>
        <rFont val="Calibri"/>
        <family val="2"/>
        <scheme val="minor"/>
      </rPr>
      <t xml:space="preserve"> 4.8 Ft3 Front Load Washer W/ Ultra Fresh Vent System With 
Oderblock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GE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GFW550SSN/SPN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White</t>
    </r>
  </si>
  <si>
    <r>
      <rPr>
        <b/>
        <sz val="12"/>
        <rFont val="Calibri"/>
        <family val="2"/>
        <scheme val="minor"/>
      </rPr>
      <t>EQ-7
Description:</t>
    </r>
    <r>
      <rPr>
        <sz val="12"/>
        <rFont val="Calibri"/>
        <family val="2"/>
        <scheme val="minor"/>
      </rPr>
      <t xml:space="preserve"> 7.8 Ft3 Front Load Electric Dryer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GE
</t>
    </r>
    <r>
      <rPr>
        <b/>
        <sz val="12"/>
        <rFont val="Calibri"/>
        <family val="2"/>
        <scheme val="minor"/>
      </rPr>
      <t xml:space="preserve">Model: </t>
    </r>
    <r>
      <rPr>
        <sz val="12"/>
        <rFont val="Calibri"/>
        <family val="2"/>
        <scheme val="minor"/>
      </rPr>
      <t xml:space="preserve">GFD55ESSN/ESPN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White</t>
    </r>
  </si>
  <si>
    <t>6" Thick Construct Concrete Sidewalk
-Air Entrained</t>
  </si>
  <si>
    <t>7" Thick Concrete (4500 Psi) Parking Slab w/ 
-(2) Layers of 6x6 10/10 WWM 
- 6% Air Entained</t>
  </si>
  <si>
    <r>
      <t xml:space="preserve">Stockpile Area Prepration </t>
    </r>
    <r>
      <rPr>
        <b/>
        <sz val="12"/>
        <rFont val="Calibri"/>
        <family val="2"/>
        <scheme val="minor"/>
      </rPr>
      <t>(Area=313 SF)</t>
    </r>
  </si>
  <si>
    <t>Inspection Port W/
- 7 LF 36" HDPE Header Pipe</t>
  </si>
  <si>
    <t>LOC</t>
  </si>
  <si>
    <t>Core Cutting (Assumed)</t>
  </si>
  <si>
    <t>UTILITIES</t>
  </si>
  <si>
    <t>Underground Detention Pipes - 36" HDPE</t>
  </si>
  <si>
    <t>5'x5' Planter</t>
  </si>
  <si>
    <t>10" DIP Pipe
- Cement Lined Push On Joints Assumed</t>
  </si>
  <si>
    <r>
      <rPr>
        <b/>
        <u/>
        <sz val="12"/>
        <rFont val="Calibri"/>
        <family val="2"/>
        <scheme val="minor"/>
      </rPr>
      <t>Outlet Control Structure</t>
    </r>
    <r>
      <rPr>
        <sz val="12"/>
        <rFont val="Calibri"/>
        <family val="2"/>
        <scheme val="minor"/>
      </rPr>
      <t xml:space="preserve">
- Trash Rack
- Ladder Rungs
- Manhole Covers
- Orifice Plate</t>
    </r>
  </si>
  <si>
    <t>Prop. 2" Copper Domestic Service
Type L Assumed</t>
  </si>
  <si>
    <t>Pendant Sprinkler Heads</t>
  </si>
  <si>
    <t>Backflow Preventer - 6"</t>
  </si>
  <si>
    <t>Piping Material: Cast Iron (Assumed)</t>
  </si>
  <si>
    <t>Mechanical Louver
Size: 36"x36"</t>
  </si>
  <si>
    <t>Earthwork</t>
  </si>
  <si>
    <t>Exterior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</si>
</sst>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_);_(&quot;$&quot;* \(#,##0\);_(&quot;$&quot;* &quot;-&quot;?_);_(@_)"/>
    <numFmt numFmtId="167" formatCode="_(&quot;$&quot;* #,##0.00_);_(&quot;$&quot;* \(#,##0.00\);_(&quot;$&quot;* &quot;-&quot;?_);_(@_)"/>
    <numFmt numFmtId="168" formatCode="_(* #,##0_);_(* \(#,##0\);_(* &quot;-&quot;??_);_(@_)"/>
    <numFmt numFmtId="169" formatCode="[$-F800]dddd\,\ mmmm\ dd\,\ yyyy"/>
    <numFmt numFmtId="170" formatCode="0\ &quot;CY&quot;"/>
    <numFmt numFmtId="171" formatCode="0.0000000"/>
    <numFmt numFmtId="172" formatCode="0.00\ &quot;CY&quot;"/>
    <numFmt numFmtId="173" formatCode="0.0"/>
    <numFmt numFmtId="174" formatCode="0.000"/>
    <numFmt numFmtId="175" formatCode="_(* #,##0.00_);_(* \(#,##0.00\);_(* &quot;-&quot;_);_(@_)"/>
    <numFmt numFmtId="176" formatCode="&quot;$&quot;#,##0.00"/>
  </numFmts>
  <fonts count="65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0"/>
      <name val="Arial"/>
      <family val="2"/>
    </font>
    <font>
      <b/>
      <sz val="12"/>
      <color theme="0"/>
      <name val="Verdana"/>
      <family val="2"/>
    </font>
    <font>
      <sz val="12"/>
      <name val="Arial"/>
      <family val="2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i/>
      <sz val="12"/>
      <color rgb="FF002060"/>
      <name val="Times New Roman"/>
      <family val="1"/>
    </font>
    <font>
      <sz val="12"/>
      <color theme="0"/>
      <name val="Times New Roman"/>
      <family val="1"/>
    </font>
    <font>
      <b/>
      <i/>
      <sz val="12"/>
      <color rgb="FFCE2008"/>
      <name val="Times New Roman"/>
      <family val="1"/>
    </font>
    <font>
      <b/>
      <i/>
      <sz val="12"/>
      <color rgb="FFFF512C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u/>
      <sz val="1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ED2DC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9" fillId="0" borderId="0"/>
    <xf numFmtId="0" fontId="9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/>
    <xf numFmtId="0" fontId="27" fillId="0" borderId="0"/>
    <xf numFmtId="0" fontId="9" fillId="0" borderId="0"/>
    <xf numFmtId="43" fontId="27" fillId="0" borderId="0" applyFont="0" applyFill="0" applyBorder="0" applyAlignment="0" applyProtection="0"/>
    <xf numFmtId="0" fontId="28" fillId="0" borderId="0"/>
    <xf numFmtId="43" fontId="9" fillId="0" borderId="0" applyFont="0" applyFill="0" applyBorder="0" applyAlignment="0" applyProtection="0"/>
    <xf numFmtId="0" fontId="9" fillId="0" borderId="0"/>
    <xf numFmtId="44" fontId="28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0" fontId="32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3">
    <xf numFmtId="0" fontId="0" fillId="0" borderId="0" xfId="0"/>
    <xf numFmtId="0" fontId="29" fillId="0" borderId="0" xfId="0" applyFont="1" applyFill="1" applyBorder="1" applyAlignment="1">
      <alignment vertical="top"/>
    </xf>
    <xf numFmtId="0" fontId="29" fillId="24" borderId="10" xfId="0" applyFont="1" applyFill="1" applyBorder="1" applyAlignment="1" applyProtection="1">
      <alignment horizontal="center" vertical="top" wrapText="1"/>
    </xf>
    <xf numFmtId="41" fontId="29" fillId="0" borderId="10" xfId="0" applyNumberFormat="1" applyFont="1" applyFill="1" applyBorder="1" applyAlignment="1">
      <alignment horizontal="center" vertical="top"/>
    </xf>
    <xf numFmtId="0" fontId="29" fillId="0" borderId="15" xfId="0" applyFont="1" applyFill="1" applyBorder="1" applyAlignment="1">
      <alignment horizontal="center" vertical="top"/>
    </xf>
    <xf numFmtId="0" fontId="29" fillId="0" borderId="11" xfId="0" applyFont="1" applyFill="1" applyBorder="1" applyAlignment="1">
      <alignment vertical="top"/>
    </xf>
    <xf numFmtId="0" fontId="29" fillId="0" borderId="12" xfId="0" applyFont="1" applyBorder="1" applyAlignment="1">
      <alignment horizontal="center" vertical="top"/>
    </xf>
    <xf numFmtId="0" fontId="29" fillId="0" borderId="0" xfId="0" applyFont="1" applyBorder="1" applyAlignment="1">
      <alignment vertical="top"/>
    </xf>
    <xf numFmtId="0" fontId="29" fillId="0" borderId="0" xfId="0" applyFont="1" applyBorder="1" applyAlignment="1">
      <alignment horizontal="center" vertical="top"/>
    </xf>
    <xf numFmtId="2" fontId="29" fillId="0" borderId="0" xfId="0" applyNumberFormat="1" applyFont="1" applyBorder="1" applyAlignment="1">
      <alignment horizontal="center" vertical="top" wrapText="1"/>
    </xf>
    <xf numFmtId="164" fontId="29" fillId="0" borderId="0" xfId="0" applyNumberFormat="1" applyFont="1" applyBorder="1" applyAlignment="1">
      <alignment vertical="top"/>
    </xf>
    <xf numFmtId="0" fontId="34" fillId="25" borderId="0" xfId="0" applyFont="1" applyFill="1" applyBorder="1" applyAlignment="1">
      <alignment vertical="top"/>
    </xf>
    <xf numFmtId="2" fontId="29" fillId="0" borderId="0" xfId="0" applyNumberFormat="1" applyFont="1" applyBorder="1" applyAlignment="1">
      <alignment horizontal="left" vertical="top" wrapText="1"/>
    </xf>
    <xf numFmtId="1" fontId="29" fillId="0" borderId="15" xfId="0" applyNumberFormat="1" applyFont="1" applyFill="1" applyBorder="1" applyAlignment="1">
      <alignment horizontal="center" vertical="top"/>
    </xf>
    <xf numFmtId="2" fontId="8" fillId="24" borderId="0" xfId="0" applyNumberFormat="1" applyFont="1" applyFill="1" applyBorder="1" applyAlignment="1">
      <alignment vertical="top"/>
    </xf>
    <xf numFmtId="0" fontId="29" fillId="24" borderId="0" xfId="0" applyFont="1" applyFill="1" applyBorder="1" applyAlignment="1">
      <alignment vertical="top"/>
    </xf>
    <xf numFmtId="2" fontId="29" fillId="24" borderId="0" xfId="0" applyNumberFormat="1" applyFont="1" applyFill="1" applyBorder="1" applyAlignment="1">
      <alignment horizontal="center" vertical="top"/>
    </xf>
    <xf numFmtId="0" fontId="34" fillId="24" borderId="20" xfId="0" applyFont="1" applyFill="1" applyBorder="1" applyAlignment="1">
      <alignment vertical="top"/>
    </xf>
    <xf numFmtId="1" fontId="29" fillId="0" borderId="0" xfId="0" applyNumberFormat="1" applyFont="1" applyBorder="1" applyAlignment="1">
      <alignment horizontal="center" vertical="top" wrapText="1"/>
    </xf>
    <xf numFmtId="0" fontId="29" fillId="26" borderId="17" xfId="0" applyFont="1" applyFill="1" applyBorder="1" applyAlignment="1">
      <alignment vertical="top"/>
    </xf>
    <xf numFmtId="9" fontId="29" fillId="0" borderId="15" xfId="0" applyNumberFormat="1" applyFont="1" applyFill="1" applyBorder="1" applyAlignment="1">
      <alignment horizontal="center" vertical="top"/>
    </xf>
    <xf numFmtId="0" fontId="29" fillId="0" borderId="10" xfId="0" applyFont="1" applyFill="1" applyBorder="1" applyAlignment="1">
      <alignment horizontal="center" vertical="top"/>
    </xf>
    <xf numFmtId="0" fontId="30" fillId="26" borderId="17" xfId="0" applyFont="1" applyFill="1" applyBorder="1" applyAlignment="1">
      <alignment vertical="top"/>
    </xf>
    <xf numFmtId="14" fontId="29" fillId="24" borderId="0" xfId="0" applyNumberFormat="1" applyFont="1" applyFill="1" applyBorder="1" applyAlignment="1">
      <alignment horizontal="left" vertical="top"/>
    </xf>
    <xf numFmtId="1" fontId="29" fillId="26" borderId="17" xfId="0" applyNumberFormat="1" applyFont="1" applyFill="1" applyBorder="1" applyAlignment="1">
      <alignment horizontal="center" vertical="top"/>
    </xf>
    <xf numFmtId="1" fontId="29" fillId="0" borderId="10" xfId="0" applyNumberFormat="1" applyFont="1" applyFill="1" applyBorder="1" applyAlignment="1">
      <alignment horizontal="center" vertical="top"/>
    </xf>
    <xf numFmtId="0" fontId="29" fillId="24" borderId="15" xfId="0" applyFont="1" applyFill="1" applyBorder="1" applyAlignment="1" applyProtection="1">
      <alignment horizontal="center" vertical="top" wrapText="1"/>
    </xf>
    <xf numFmtId="41" fontId="29" fillId="24" borderId="10" xfId="0" applyNumberFormat="1" applyFont="1" applyFill="1" applyBorder="1" applyAlignment="1">
      <alignment horizontal="center" vertical="top"/>
    </xf>
    <xf numFmtId="0" fontId="29" fillId="24" borderId="10" xfId="0" applyFont="1" applyFill="1" applyBorder="1" applyAlignment="1">
      <alignment horizontal="center" vertical="top"/>
    </xf>
    <xf numFmtId="1" fontId="29" fillId="24" borderId="15" xfId="0" applyNumberFormat="1" applyFont="1" applyFill="1" applyBorder="1" applyAlignment="1" applyProtection="1">
      <alignment horizontal="right" vertical="top"/>
    </xf>
    <xf numFmtId="0" fontId="29" fillId="24" borderId="29" xfId="0" applyFont="1" applyFill="1" applyBorder="1" applyAlignment="1" applyProtection="1">
      <alignment horizontal="center" vertical="top" wrapText="1"/>
    </xf>
    <xf numFmtId="41" fontId="29" fillId="24" borderId="18" xfId="0" applyNumberFormat="1" applyFont="1" applyFill="1" applyBorder="1" applyAlignment="1">
      <alignment horizontal="center" vertical="top"/>
    </xf>
    <xf numFmtId="9" fontId="29" fillId="24" borderId="18" xfId="0" applyNumberFormat="1" applyFont="1" applyFill="1" applyBorder="1" applyAlignment="1">
      <alignment horizontal="center" vertical="top"/>
    </xf>
    <xf numFmtId="0" fontId="29" fillId="24" borderId="18" xfId="0" applyFont="1" applyFill="1" applyBorder="1" applyAlignment="1">
      <alignment horizontal="center" vertical="top"/>
    </xf>
    <xf numFmtId="0" fontId="30" fillId="26" borderId="17" xfId="0" applyFont="1" applyFill="1" applyBorder="1" applyAlignment="1">
      <alignment horizontal="left" vertical="top"/>
    </xf>
    <xf numFmtId="2" fontId="30" fillId="0" borderId="10" xfId="0" applyNumberFormat="1" applyFont="1" applyFill="1" applyBorder="1" applyAlignment="1">
      <alignment horizontal="right" vertical="top" wrapText="1"/>
    </xf>
    <xf numFmtId="0" fontId="29" fillId="24" borderId="20" xfId="0" applyFont="1" applyFill="1" applyBorder="1" applyAlignment="1">
      <alignment vertical="top"/>
    </xf>
    <xf numFmtId="165" fontId="30" fillId="24" borderId="19" xfId="55" applyNumberFormat="1" applyFont="1" applyFill="1" applyBorder="1" applyAlignment="1">
      <alignment horizontal="center" vertical="top"/>
    </xf>
    <xf numFmtId="0" fontId="29" fillId="26" borderId="25" xfId="0" applyFont="1" applyFill="1" applyBorder="1" applyAlignment="1">
      <alignment vertical="top" wrapText="1"/>
    </xf>
    <xf numFmtId="0" fontId="29" fillId="0" borderId="0" xfId="0" applyFont="1" applyBorder="1" applyAlignment="1">
      <alignment horizontal="center" vertical="top" wrapText="1"/>
    </xf>
    <xf numFmtId="0" fontId="29" fillId="26" borderId="26" xfId="0" applyFont="1" applyFill="1" applyBorder="1" applyAlignment="1">
      <alignment vertical="top"/>
    </xf>
    <xf numFmtId="165" fontId="29" fillId="24" borderId="31" xfId="0" applyNumberFormat="1" applyFont="1" applyFill="1" applyBorder="1" applyAlignment="1">
      <alignment horizontal="center" vertical="top"/>
    </xf>
    <xf numFmtId="165" fontId="30" fillId="0" borderId="30" xfId="55" applyNumberFormat="1" applyFont="1" applyFill="1" applyBorder="1" applyAlignment="1">
      <alignment horizontal="center" vertical="top"/>
    </xf>
    <xf numFmtId="44" fontId="30" fillId="24" borderId="0" xfId="0" applyNumberFormat="1" applyFont="1" applyFill="1" applyBorder="1" applyAlignment="1">
      <alignment horizontal="left" vertical="top"/>
    </xf>
    <xf numFmtId="44" fontId="29" fillId="26" borderId="17" xfId="55" applyNumberFormat="1" applyFont="1" applyFill="1" applyBorder="1" applyAlignment="1">
      <alignment vertical="top"/>
    </xf>
    <xf numFmtId="44" fontId="29" fillId="24" borderId="18" xfId="0" applyNumberFormat="1" applyFont="1" applyFill="1" applyBorder="1" applyAlignment="1" applyProtection="1">
      <alignment horizontal="center" vertical="top"/>
    </xf>
    <xf numFmtId="44" fontId="29" fillId="0" borderId="0" xfId="56" applyNumberFormat="1" applyFont="1" applyBorder="1" applyAlignment="1">
      <alignment horizontal="center" vertical="top"/>
    </xf>
    <xf numFmtId="0" fontId="43" fillId="24" borderId="22" xfId="0" applyFont="1" applyFill="1" applyBorder="1" applyAlignment="1">
      <alignment horizontal="center" vertical="top" wrapText="1"/>
    </xf>
    <xf numFmtId="0" fontId="43" fillId="24" borderId="12" xfId="0" applyFont="1" applyFill="1" applyBorder="1" applyAlignment="1">
      <alignment horizontal="left" vertical="top"/>
    </xf>
    <xf numFmtId="14" fontId="43" fillId="24" borderId="12" xfId="0" applyNumberFormat="1" applyFont="1" applyFill="1" applyBorder="1" applyAlignment="1">
      <alignment horizontal="left" vertical="top"/>
    </xf>
    <xf numFmtId="44" fontId="29" fillId="24" borderId="10" xfId="55" applyNumberFormat="1" applyFont="1" applyFill="1" applyBorder="1" applyAlignment="1">
      <alignment horizontal="center" vertical="top"/>
    </xf>
    <xf numFmtId="44" fontId="33" fillId="29" borderId="17" xfId="56" applyNumberFormat="1" applyFont="1" applyFill="1" applyBorder="1" applyAlignment="1">
      <alignment horizontal="center" vertical="top"/>
    </xf>
    <xf numFmtId="0" fontId="33" fillId="29" borderId="14" xfId="0" applyFont="1" applyFill="1" applyBorder="1" applyAlignment="1">
      <alignment horizontal="center" vertical="top" wrapText="1"/>
    </xf>
    <xf numFmtId="0" fontId="33" fillId="29" borderId="14" xfId="0" applyFont="1" applyFill="1" applyBorder="1" applyAlignment="1">
      <alignment horizontal="center" vertical="top"/>
    </xf>
    <xf numFmtId="2" fontId="33" fillId="29" borderId="14" xfId="0" applyNumberFormat="1" applyFont="1" applyFill="1" applyBorder="1" applyAlignment="1">
      <alignment horizontal="left" vertical="top" wrapText="1"/>
    </xf>
    <xf numFmtId="1" fontId="33" fillId="29" borderId="14" xfId="0" applyNumberFormat="1" applyFont="1" applyFill="1" applyBorder="1" applyAlignment="1">
      <alignment horizontal="center" vertical="top"/>
    </xf>
    <xf numFmtId="2" fontId="33" fillId="29" borderId="14" xfId="0" applyNumberFormat="1" applyFont="1" applyFill="1" applyBorder="1" applyAlignment="1">
      <alignment horizontal="center" vertical="top" wrapText="1"/>
    </xf>
    <xf numFmtId="2" fontId="35" fillId="29" borderId="14" xfId="54" applyNumberFormat="1" applyFont="1" applyFill="1" applyBorder="1" applyAlignment="1">
      <alignment horizontal="left" vertical="top"/>
    </xf>
    <xf numFmtId="1" fontId="31" fillId="29" borderId="32" xfId="0" applyNumberFormat="1" applyFont="1" applyFill="1" applyBorder="1" applyAlignment="1">
      <alignment horizontal="left" vertical="top"/>
    </xf>
    <xf numFmtId="1" fontId="31" fillId="29" borderId="11" xfId="0" applyNumberFormat="1" applyFont="1" applyFill="1" applyBorder="1" applyAlignment="1">
      <alignment horizontal="left" vertical="top" wrapText="1"/>
    </xf>
    <xf numFmtId="1" fontId="31" fillId="29" borderId="11" xfId="0" applyNumberFormat="1" applyFont="1" applyFill="1" applyBorder="1" applyAlignment="1">
      <alignment horizontal="left" vertical="top"/>
    </xf>
    <xf numFmtId="0" fontId="33" fillId="29" borderId="11" xfId="0" applyFont="1" applyFill="1" applyBorder="1" applyAlignment="1">
      <alignment horizontal="left" vertical="top" wrapText="1"/>
    </xf>
    <xf numFmtId="1" fontId="33" fillId="29" borderId="11" xfId="0" applyNumberFormat="1" applyFont="1" applyFill="1" applyBorder="1" applyAlignment="1">
      <alignment horizontal="center" vertical="top"/>
    </xf>
    <xf numFmtId="41" fontId="33" fillId="29" borderId="11" xfId="0" applyNumberFormat="1" applyFont="1" applyFill="1" applyBorder="1" applyAlignment="1">
      <alignment horizontal="right" vertical="top"/>
    </xf>
    <xf numFmtId="0" fontId="33" fillId="29" borderId="11" xfId="0" applyFont="1" applyFill="1" applyBorder="1" applyAlignment="1">
      <alignment horizontal="center" vertical="top"/>
    </xf>
    <xf numFmtId="2" fontId="41" fillId="29" borderId="25" xfId="0" applyNumberFormat="1" applyFont="1" applyFill="1" applyBorder="1" applyAlignment="1">
      <alignment horizontal="left" vertical="top"/>
    </xf>
    <xf numFmtId="2" fontId="33" fillId="29" borderId="17" xfId="0" applyNumberFormat="1" applyFont="1" applyFill="1" applyBorder="1" applyAlignment="1">
      <alignment horizontal="center" vertical="top"/>
    </xf>
    <xf numFmtId="2" fontId="41" fillId="29" borderId="17" xfId="0" applyNumberFormat="1" applyFont="1" applyFill="1" applyBorder="1" applyAlignment="1">
      <alignment horizontal="left" vertical="top" wrapText="1"/>
    </xf>
    <xf numFmtId="2" fontId="41" fillId="29" borderId="17" xfId="0" applyNumberFormat="1" applyFont="1" applyFill="1" applyBorder="1" applyAlignment="1">
      <alignment horizontal="left" vertical="top"/>
    </xf>
    <xf numFmtId="2" fontId="36" fillId="29" borderId="17" xfId="0" applyNumberFormat="1" applyFont="1" applyFill="1" applyBorder="1" applyAlignment="1">
      <alignment horizontal="left" vertical="top"/>
    </xf>
    <xf numFmtId="2" fontId="36" fillId="29" borderId="17" xfId="0" applyNumberFormat="1" applyFont="1" applyFill="1" applyBorder="1" applyAlignment="1">
      <alignment horizontal="center" vertical="top"/>
    </xf>
    <xf numFmtId="2" fontId="40" fillId="24" borderId="0" xfId="0" applyNumberFormat="1" applyFont="1" applyFill="1" applyBorder="1" applyAlignment="1">
      <alignment vertical="top"/>
    </xf>
    <xf numFmtId="0" fontId="29" fillId="0" borderId="24" xfId="45" applyFont="1" applyFill="1" applyBorder="1" applyAlignment="1" applyProtection="1">
      <alignment horizontal="center" vertical="top"/>
    </xf>
    <xf numFmtId="0" fontId="29" fillId="24" borderId="10" xfId="45" applyFont="1" applyFill="1" applyBorder="1" applyAlignment="1" applyProtection="1">
      <alignment horizontal="center" vertical="top" wrapText="1"/>
    </xf>
    <xf numFmtId="9" fontId="29" fillId="24" borderId="10" xfId="58" applyFont="1" applyFill="1" applyBorder="1" applyAlignment="1" applyProtection="1">
      <alignment horizontal="center" vertical="top"/>
    </xf>
    <xf numFmtId="41" fontId="29" fillId="0" borderId="10" xfId="45" applyNumberFormat="1" applyFont="1" applyBorder="1" applyAlignment="1">
      <alignment horizontal="center" vertical="top"/>
    </xf>
    <xf numFmtId="0" fontId="29" fillId="0" borderId="10" xfId="45" applyFont="1" applyBorder="1" applyAlignment="1">
      <alignment horizontal="center" vertical="top"/>
    </xf>
    <xf numFmtId="165" fontId="29" fillId="0" borderId="21" xfId="55" applyNumberFormat="1" applyFont="1" applyFill="1" applyBorder="1" applyAlignment="1">
      <alignment horizontal="center" vertical="top"/>
    </xf>
    <xf numFmtId="44" fontId="45" fillId="24" borderId="22" xfId="45" applyNumberFormat="1" applyFont="1" applyFill="1" applyBorder="1" applyAlignment="1">
      <alignment vertical="top"/>
    </xf>
    <xf numFmtId="167" fontId="29" fillId="24" borderId="15" xfId="45" applyNumberFormat="1" applyFont="1" applyFill="1" applyBorder="1" applyAlignment="1">
      <alignment horizontal="center" vertical="top"/>
    </xf>
    <xf numFmtId="2" fontId="29" fillId="24" borderId="15" xfId="45" applyNumberFormat="1" applyFont="1" applyFill="1" applyBorder="1" applyAlignment="1">
      <alignment horizontal="left" vertical="top" wrapText="1"/>
    </xf>
    <xf numFmtId="1" fontId="29" fillId="24" borderId="15" xfId="45" applyNumberFormat="1" applyFont="1" applyFill="1" applyBorder="1" applyAlignment="1">
      <alignment horizontal="center" vertical="top"/>
    </xf>
    <xf numFmtId="41" fontId="29" fillId="24" borderId="10" xfId="45" applyNumberFormat="1" applyFont="1" applyFill="1" applyBorder="1" applyAlignment="1">
      <alignment horizontal="center" vertical="top"/>
    </xf>
    <xf numFmtId="0" fontId="29" fillId="24" borderId="10" xfId="45" applyFont="1" applyFill="1" applyBorder="1" applyAlignment="1">
      <alignment horizontal="center" vertical="top"/>
    </xf>
    <xf numFmtId="165" fontId="29" fillId="24" borderId="21" xfId="55" applyNumberFormat="1" applyFont="1" applyFill="1" applyBorder="1" applyAlignment="1">
      <alignment horizontal="center" vertical="top"/>
    </xf>
    <xf numFmtId="0" fontId="45" fillId="24" borderId="0" xfId="45" applyFont="1" applyFill="1" applyAlignment="1">
      <alignment vertical="top"/>
    </xf>
    <xf numFmtId="1" fontId="44" fillId="24" borderId="10" xfId="45" applyNumberFormat="1" applyFont="1" applyFill="1" applyBorder="1" applyAlignment="1">
      <alignment horizontal="right" vertical="top"/>
    </xf>
    <xf numFmtId="0" fontId="42" fillId="24" borderId="12" xfId="45" applyFont="1" applyFill="1" applyBorder="1" applyAlignment="1">
      <alignment horizontal="left" vertical="top"/>
    </xf>
    <xf numFmtId="0" fontId="42" fillId="24" borderId="0" xfId="45" applyFont="1" applyFill="1" applyBorder="1" applyAlignment="1">
      <alignment horizontal="left" vertical="top"/>
    </xf>
    <xf numFmtId="2" fontId="46" fillId="24" borderId="0" xfId="45" applyNumberFormat="1" applyFont="1" applyFill="1" applyBorder="1" applyAlignment="1">
      <alignment horizontal="right" vertical="top"/>
    </xf>
    <xf numFmtId="0" fontId="42" fillId="24" borderId="22" xfId="45" applyFont="1" applyFill="1" applyBorder="1" applyAlignment="1">
      <alignment horizontal="left" vertical="top"/>
    </xf>
    <xf numFmtId="0" fontId="43" fillId="0" borderId="0" xfId="45" applyFont="1"/>
    <xf numFmtId="2" fontId="41" fillId="29" borderId="32" xfId="45" applyNumberFormat="1" applyFont="1" applyFill="1" applyBorder="1" applyAlignment="1">
      <alignment horizontal="left" vertical="top"/>
    </xf>
    <xf numFmtId="2" fontId="41" fillId="29" borderId="11" xfId="45" applyNumberFormat="1" applyFont="1" applyFill="1" applyBorder="1" applyAlignment="1">
      <alignment vertical="top"/>
    </xf>
    <xf numFmtId="0" fontId="41" fillId="29" borderId="11" xfId="45" applyFont="1" applyFill="1" applyBorder="1" applyAlignment="1">
      <alignment vertical="top"/>
    </xf>
    <xf numFmtId="14" fontId="47" fillId="29" borderId="33" xfId="45" applyNumberFormat="1" applyFont="1" applyFill="1" applyBorder="1" applyAlignment="1">
      <alignment vertical="top"/>
    </xf>
    <xf numFmtId="14" fontId="43" fillId="24" borderId="12" xfId="45" applyNumberFormat="1" applyFont="1" applyFill="1" applyBorder="1" applyAlignment="1">
      <alignment horizontal="left" vertical="top"/>
    </xf>
    <xf numFmtId="2" fontId="41" fillId="29" borderId="13" xfId="45" applyNumberFormat="1" applyFont="1" applyFill="1" applyBorder="1" applyAlignment="1">
      <alignment horizontal="left" vertical="top"/>
    </xf>
    <xf numFmtId="0" fontId="41" fillId="29" borderId="14" xfId="45" applyFont="1" applyFill="1" applyBorder="1" applyAlignment="1">
      <alignment vertical="top"/>
    </xf>
    <xf numFmtId="0" fontId="47" fillId="29" borderId="23" xfId="45" applyFont="1" applyFill="1" applyBorder="1" applyAlignment="1">
      <alignment horizontal="left"/>
    </xf>
    <xf numFmtId="14" fontId="43" fillId="24" borderId="22" xfId="45" applyNumberFormat="1" applyFont="1" applyFill="1" applyBorder="1" applyAlignment="1">
      <alignment horizontal="left" vertical="top"/>
    </xf>
    <xf numFmtId="49" fontId="43" fillId="0" borderId="12" xfId="45" applyNumberFormat="1" applyFont="1" applyBorder="1" applyAlignment="1">
      <alignment horizontal="center" vertical="top" wrapText="1"/>
    </xf>
    <xf numFmtId="0" fontId="42" fillId="0" borderId="0" xfId="45" applyFont="1" applyBorder="1" applyAlignment="1">
      <alignment horizontal="left" vertical="top" wrapText="1"/>
    </xf>
    <xf numFmtId="0" fontId="42" fillId="0" borderId="0" xfId="45" applyFont="1" applyBorder="1" applyAlignment="1">
      <alignment vertical="top" wrapText="1"/>
    </xf>
    <xf numFmtId="166" fontId="42" fillId="24" borderId="22" xfId="45" applyNumberFormat="1" applyFont="1" applyFill="1" applyBorder="1" applyAlignment="1" applyProtection="1">
      <alignment horizontal="left" vertical="top"/>
    </xf>
    <xf numFmtId="0" fontId="41" fillId="29" borderId="13" xfId="45" applyFont="1" applyFill="1" applyBorder="1" applyAlignment="1">
      <alignment vertical="top"/>
    </xf>
    <xf numFmtId="0" fontId="41" fillId="29" borderId="14" xfId="45" applyFont="1" applyFill="1" applyBorder="1" applyAlignment="1">
      <alignment vertical="top" wrapText="1"/>
    </xf>
    <xf numFmtId="164" fontId="41" fillId="29" borderId="23" xfId="45" applyNumberFormat="1" applyFont="1" applyFill="1" applyBorder="1" applyAlignment="1">
      <alignment vertical="top"/>
    </xf>
    <xf numFmtId="0" fontId="43" fillId="0" borderId="12" xfId="45" applyFont="1" applyBorder="1"/>
    <xf numFmtId="0" fontId="48" fillId="0" borderId="0" xfId="45" applyFont="1" applyBorder="1"/>
    <xf numFmtId="0" fontId="43" fillId="0" borderId="0" xfId="45" applyFont="1" applyBorder="1"/>
    <xf numFmtId="0" fontId="43" fillId="0" borderId="22" xfId="45" applyFont="1" applyBorder="1"/>
    <xf numFmtId="0" fontId="43" fillId="0" borderId="13" xfId="45" applyFont="1" applyBorder="1"/>
    <xf numFmtId="0" fontId="49" fillId="0" borderId="14" xfId="45" applyFont="1" applyBorder="1" applyAlignment="1"/>
    <xf numFmtId="0" fontId="43" fillId="0" borderId="14" xfId="45" applyFont="1" applyBorder="1"/>
    <xf numFmtId="0" fontId="43" fillId="0" borderId="23" xfId="45" applyFont="1" applyBorder="1"/>
    <xf numFmtId="2" fontId="30" fillId="24" borderId="11" xfId="45" applyNumberFormat="1" applyFont="1" applyFill="1" applyBorder="1" applyAlignment="1">
      <alignment horizontal="left" vertical="top"/>
    </xf>
    <xf numFmtId="2" fontId="30" fillId="24" borderId="0" xfId="45" applyNumberFormat="1" applyFont="1" applyFill="1" applyBorder="1" applyAlignment="1">
      <alignment horizontal="left" vertical="top"/>
    </xf>
    <xf numFmtId="2" fontId="32" fillId="24" borderId="0" xfId="54" applyNumberFormat="1" applyFill="1" applyBorder="1" applyAlignment="1">
      <alignment horizontal="center" vertical="top"/>
    </xf>
    <xf numFmtId="2" fontId="8" fillId="24" borderId="11" xfId="45" applyNumberFormat="1" applyFont="1" applyFill="1" applyBorder="1" applyAlignment="1">
      <alignment vertical="top"/>
    </xf>
    <xf numFmtId="2" fontId="8" fillId="24" borderId="33" xfId="45" applyNumberFormat="1" applyFont="1" applyFill="1" applyBorder="1" applyAlignment="1">
      <alignment vertical="top"/>
    </xf>
    <xf numFmtId="0" fontId="29" fillId="0" borderId="0" xfId="45" applyFont="1" applyFill="1" applyBorder="1" applyAlignment="1">
      <alignment vertical="top"/>
    </xf>
    <xf numFmtId="14" fontId="40" fillId="24" borderId="22" xfId="45" applyNumberFormat="1" applyFont="1" applyFill="1" applyBorder="1" applyAlignment="1">
      <alignment horizontal="left" vertical="top"/>
    </xf>
    <xf numFmtId="2" fontId="32" fillId="24" borderId="14" xfId="54" applyNumberFormat="1" applyFill="1" applyBorder="1" applyAlignment="1">
      <alignment horizontal="center" vertical="top"/>
    </xf>
    <xf numFmtId="2" fontId="32" fillId="24" borderId="23" xfId="54" applyNumberFormat="1" applyFill="1" applyBorder="1" applyAlignment="1">
      <alignment horizontal="center" vertical="top"/>
    </xf>
    <xf numFmtId="49" fontId="43" fillId="0" borderId="0" xfId="45" applyNumberFormat="1" applyFont="1" applyBorder="1" applyAlignment="1">
      <alignment horizontal="center" vertical="top"/>
    </xf>
    <xf numFmtId="2" fontId="42" fillId="0" borderId="0" xfId="45" applyNumberFormat="1" applyFont="1" applyBorder="1" applyAlignment="1">
      <alignment horizontal="left" vertical="top"/>
    </xf>
    <xf numFmtId="0" fontId="42" fillId="0" borderId="0" xfId="45" applyFont="1" applyBorder="1" applyAlignment="1">
      <alignment vertical="top"/>
    </xf>
    <xf numFmtId="166" fontId="42" fillId="24" borderId="0" xfId="45" applyNumberFormat="1" applyFont="1" applyFill="1" applyBorder="1" applyAlignment="1" applyProtection="1">
      <alignment horizontal="left" vertical="top"/>
    </xf>
    <xf numFmtId="0" fontId="42" fillId="24" borderId="32" xfId="45" applyFont="1" applyFill="1" applyBorder="1" applyAlignment="1">
      <alignment horizontal="left" vertical="top"/>
    </xf>
    <xf numFmtId="0" fontId="42" fillId="24" borderId="11" xfId="45" applyFont="1" applyFill="1" applyBorder="1" applyAlignment="1">
      <alignment horizontal="left" vertical="top"/>
    </xf>
    <xf numFmtId="2" fontId="46" fillId="24" borderId="11" xfId="45" applyNumberFormat="1" applyFont="1" applyFill="1" applyBorder="1" applyAlignment="1">
      <alignment horizontal="right" vertical="top"/>
    </xf>
    <xf numFmtId="0" fontId="42" fillId="24" borderId="33" xfId="45" applyFont="1" applyFill="1" applyBorder="1" applyAlignment="1">
      <alignment horizontal="left" vertical="top"/>
    </xf>
    <xf numFmtId="1" fontId="29" fillId="0" borderId="15" xfId="0" applyNumberFormat="1" applyFont="1" applyFill="1" applyBorder="1" applyAlignment="1" applyProtection="1">
      <alignment horizontal="right" vertical="top"/>
    </xf>
    <xf numFmtId="1" fontId="29" fillId="24" borderId="28" xfId="0" applyNumberFormat="1" applyFont="1" applyFill="1" applyBorder="1" applyAlignment="1" applyProtection="1">
      <alignment horizontal="center" vertical="top"/>
    </xf>
    <xf numFmtId="44" fontId="29" fillId="24" borderId="16" xfId="55" applyNumberFormat="1" applyFont="1" applyFill="1" applyBorder="1" applyAlignment="1" applyProtection="1">
      <alignment horizontal="center" vertical="top"/>
    </xf>
    <xf numFmtId="165" fontId="29" fillId="0" borderId="30" xfId="45" applyNumberFormat="1" applyFont="1" applyFill="1" applyBorder="1" applyAlignment="1">
      <alignment horizontal="center" vertical="top"/>
    </xf>
    <xf numFmtId="166" fontId="30" fillId="24" borderId="22" xfId="45" applyNumberFormat="1" applyFont="1" applyFill="1" applyBorder="1" applyAlignment="1" applyProtection="1">
      <alignment horizontal="center" vertical="top"/>
    </xf>
    <xf numFmtId="0" fontId="29" fillId="24" borderId="27" xfId="0" applyFont="1" applyFill="1" applyBorder="1" applyAlignment="1" applyProtection="1">
      <alignment horizontal="center" vertical="top" wrapText="1"/>
    </xf>
    <xf numFmtId="2" fontId="38" fillId="24" borderId="15" xfId="0" applyNumberFormat="1" applyFont="1" applyFill="1" applyBorder="1" applyAlignment="1">
      <alignment horizontal="left" vertical="top" wrapText="1"/>
    </xf>
    <xf numFmtId="41" fontId="29" fillId="0" borderId="15" xfId="0" applyNumberFormat="1" applyFont="1" applyFill="1" applyBorder="1" applyAlignment="1">
      <alignment horizontal="center" vertical="top"/>
    </xf>
    <xf numFmtId="44" fontId="29" fillId="24" borderId="28" xfId="55" applyNumberFormat="1" applyFont="1" applyFill="1" applyBorder="1" applyAlignment="1" applyProtection="1">
      <alignment horizontal="center" vertical="top"/>
    </xf>
    <xf numFmtId="165" fontId="29" fillId="0" borderId="21" xfId="45" applyNumberFormat="1" applyFont="1" applyFill="1" applyBorder="1" applyAlignment="1">
      <alignment horizontal="center" vertical="top"/>
    </xf>
    <xf numFmtId="2" fontId="29" fillId="0" borderId="15" xfId="0" applyNumberFormat="1" applyFont="1" applyFill="1" applyBorder="1" applyAlignment="1">
      <alignment horizontal="left" vertical="top" wrapText="1"/>
    </xf>
    <xf numFmtId="44" fontId="29" fillId="27" borderId="16" xfId="55" applyNumberFormat="1" applyFont="1" applyFill="1" applyBorder="1" applyAlignment="1" applyProtection="1">
      <alignment horizontal="center" vertical="top"/>
    </xf>
    <xf numFmtId="1" fontId="29" fillId="0" borderId="10" xfId="0" applyNumberFormat="1" applyFont="1" applyFill="1" applyBorder="1" applyAlignment="1" applyProtection="1">
      <alignment horizontal="right" vertical="top"/>
    </xf>
    <xf numFmtId="2" fontId="29" fillId="0" borderId="10" xfId="0" applyNumberFormat="1" applyFont="1" applyFill="1" applyBorder="1" applyAlignment="1">
      <alignment horizontal="right" vertical="top" wrapText="1"/>
    </xf>
    <xf numFmtId="1" fontId="29" fillId="0" borderId="10" xfId="0" applyNumberFormat="1" applyFont="1" applyFill="1" applyBorder="1" applyAlignment="1">
      <alignment vertical="top"/>
    </xf>
    <xf numFmtId="9" fontId="29" fillId="24" borderId="10" xfId="0" applyNumberFormat="1" applyFont="1" applyFill="1" applyBorder="1" applyAlignment="1">
      <alignment vertical="top"/>
    </xf>
    <xf numFmtId="168" fontId="29" fillId="24" borderId="10" xfId="0" applyNumberFormat="1" applyFont="1" applyFill="1" applyBorder="1" applyAlignment="1">
      <alignment horizontal="center" vertical="top"/>
    </xf>
    <xf numFmtId="0" fontId="29" fillId="30" borderId="25" xfId="0" applyFont="1" applyFill="1" applyBorder="1" applyAlignment="1" applyProtection="1">
      <alignment horizontal="center" vertical="top" wrapText="1"/>
    </xf>
    <xf numFmtId="2" fontId="30" fillId="30" borderId="17" xfId="0" applyNumberFormat="1" applyFont="1" applyFill="1" applyBorder="1" applyAlignment="1">
      <alignment horizontal="left" vertical="top" wrapText="1"/>
    </xf>
    <xf numFmtId="1" fontId="29" fillId="30" borderId="26" xfId="0" applyNumberFormat="1" applyFont="1" applyFill="1" applyBorder="1" applyAlignment="1">
      <alignment horizontal="center" vertical="top"/>
    </xf>
    <xf numFmtId="9" fontId="29" fillId="0" borderId="27" xfId="0" applyNumberFormat="1" applyFont="1" applyFill="1" applyBorder="1" applyAlignment="1">
      <alignment horizontal="center" vertical="top"/>
    </xf>
    <xf numFmtId="41" fontId="29" fillId="0" borderId="35" xfId="0" applyNumberFormat="1" applyFont="1" applyFill="1" applyBorder="1" applyAlignment="1">
      <alignment horizontal="center" vertical="top"/>
    </xf>
    <xf numFmtId="0" fontId="29" fillId="0" borderId="35" xfId="0" applyFont="1" applyFill="1" applyBorder="1" applyAlignment="1">
      <alignment horizontal="center" vertical="top"/>
    </xf>
    <xf numFmtId="166" fontId="30" fillId="0" borderId="36" xfId="0" applyNumberFormat="1" applyFont="1" applyFill="1" applyBorder="1" applyAlignment="1" applyProtection="1">
      <alignment horizontal="center" vertical="top"/>
    </xf>
    <xf numFmtId="2" fontId="42" fillId="24" borderId="32" xfId="0" applyNumberFormat="1" applyFont="1" applyFill="1" applyBorder="1" applyAlignment="1">
      <alignment horizontal="left" vertical="top"/>
    </xf>
    <xf numFmtId="0" fontId="43" fillId="24" borderId="33" xfId="0" applyFont="1" applyFill="1" applyBorder="1" applyAlignment="1">
      <alignment horizontal="center" vertical="top" wrapText="1"/>
    </xf>
    <xf numFmtId="0" fontId="42" fillId="24" borderId="32" xfId="0" applyFont="1" applyFill="1" applyBorder="1" applyAlignment="1">
      <alignment horizontal="left" vertical="top"/>
    </xf>
    <xf numFmtId="0" fontId="30" fillId="24" borderId="11" xfId="0" applyFont="1" applyFill="1" applyBorder="1" applyAlignment="1">
      <alignment horizontal="left" vertical="top"/>
    </xf>
    <xf numFmtId="44" fontId="30" fillId="24" borderId="11" xfId="0" applyNumberFormat="1" applyFont="1" applyFill="1" applyBorder="1" applyAlignment="1">
      <alignment horizontal="left" vertical="top"/>
    </xf>
    <xf numFmtId="2" fontId="8" fillId="24" borderId="11" xfId="0" applyNumberFormat="1" applyFont="1" applyFill="1" applyBorder="1" applyAlignment="1">
      <alignment vertical="top"/>
    </xf>
    <xf numFmtId="0" fontId="42" fillId="24" borderId="13" xfId="0" applyFont="1" applyFill="1" applyBorder="1" applyAlignment="1" applyProtection="1">
      <alignment horizontal="left" vertical="top"/>
    </xf>
    <xf numFmtId="0" fontId="43" fillId="24" borderId="23" xfId="0" applyFont="1" applyFill="1" applyBorder="1" applyAlignment="1" applyProtection="1">
      <alignment horizontal="center" vertical="top" wrapText="1"/>
    </xf>
    <xf numFmtId="165" fontId="42" fillId="24" borderId="13" xfId="55" applyNumberFormat="1" applyFont="1" applyFill="1" applyBorder="1" applyAlignment="1" applyProtection="1">
      <alignment horizontal="left" vertical="top"/>
    </xf>
    <xf numFmtId="165" fontId="30" fillId="24" borderId="14" xfId="55" applyNumberFormat="1" applyFont="1" applyFill="1" applyBorder="1" applyAlignment="1" applyProtection="1">
      <alignment horizontal="left" vertical="top"/>
    </xf>
    <xf numFmtId="44" fontId="30" fillId="24" borderId="14" xfId="0" applyNumberFormat="1" applyFont="1" applyFill="1" applyBorder="1" applyAlignment="1">
      <alignment horizontal="left" vertical="top"/>
    </xf>
    <xf numFmtId="44" fontId="33" fillId="29" borderId="11" xfId="56" applyNumberFormat="1" applyFont="1" applyFill="1" applyBorder="1" applyAlignment="1">
      <alignment horizontal="center" vertical="top"/>
    </xf>
    <xf numFmtId="166" fontId="31" fillId="29" borderId="33" xfId="0" applyNumberFormat="1" applyFont="1" applyFill="1" applyBorder="1" applyAlignment="1" applyProtection="1">
      <alignment horizontal="center" vertical="top"/>
    </xf>
    <xf numFmtId="44" fontId="33" fillId="29" borderId="14" xfId="56" applyNumberFormat="1" applyFont="1" applyFill="1" applyBorder="1" applyAlignment="1">
      <alignment horizontal="center" vertical="top"/>
    </xf>
    <xf numFmtId="165" fontId="31" fillId="29" borderId="11" xfId="0" applyNumberFormat="1" applyFont="1" applyFill="1" applyBorder="1" applyAlignment="1">
      <alignment horizontal="left" vertical="top"/>
    </xf>
    <xf numFmtId="1" fontId="31" fillId="29" borderId="13" xfId="0" applyNumberFormat="1" applyFont="1" applyFill="1" applyBorder="1" applyAlignment="1">
      <alignment horizontal="left" vertical="top"/>
    </xf>
    <xf numFmtId="165" fontId="31" fillId="29" borderId="14" xfId="0" applyNumberFormat="1" applyFont="1" applyFill="1" applyBorder="1" applyAlignment="1">
      <alignment horizontal="left" vertical="top"/>
    </xf>
    <xf numFmtId="165" fontId="31" fillId="29" borderId="23" xfId="0" applyNumberFormat="1" applyFont="1" applyFill="1" applyBorder="1" applyAlignment="1">
      <alignment horizontal="left" vertical="top"/>
    </xf>
    <xf numFmtId="0" fontId="40" fillId="0" borderId="0" xfId="0" applyFont="1" applyFill="1" applyBorder="1" applyAlignment="1">
      <alignment vertical="top" wrapText="1"/>
    </xf>
    <xf numFmtId="1" fontId="51" fillId="31" borderId="25" xfId="0" applyNumberFormat="1" applyFont="1" applyFill="1" applyBorder="1" applyAlignment="1">
      <alignment horizontal="left" vertical="top"/>
    </xf>
    <xf numFmtId="1" fontId="51" fillId="31" borderId="17" xfId="0" applyNumberFormat="1" applyFont="1" applyFill="1" applyBorder="1" applyAlignment="1">
      <alignment horizontal="left" vertical="top" wrapText="1"/>
    </xf>
    <xf numFmtId="1" fontId="51" fillId="31" borderId="17" xfId="0" applyNumberFormat="1" applyFont="1" applyFill="1" applyBorder="1" applyAlignment="1">
      <alignment horizontal="left" vertical="top"/>
    </xf>
    <xf numFmtId="0" fontId="34" fillId="31" borderId="17" xfId="0" applyFont="1" applyFill="1" applyBorder="1" applyAlignment="1">
      <alignment horizontal="left" vertical="top" wrapText="1"/>
    </xf>
    <xf numFmtId="1" fontId="34" fillId="31" borderId="17" xfId="0" applyNumberFormat="1" applyFont="1" applyFill="1" applyBorder="1" applyAlignment="1">
      <alignment horizontal="center" vertical="top"/>
    </xf>
    <xf numFmtId="41" fontId="34" fillId="31" borderId="17" xfId="0" applyNumberFormat="1" applyFont="1" applyFill="1" applyBorder="1" applyAlignment="1">
      <alignment horizontal="right" vertical="top"/>
    </xf>
    <xf numFmtId="0" fontId="34" fillId="31" borderId="17" xfId="0" applyFont="1" applyFill="1" applyBorder="1" applyAlignment="1">
      <alignment horizontal="center" vertical="top"/>
    </xf>
    <xf numFmtId="165" fontId="51" fillId="31" borderId="17" xfId="0" applyNumberFormat="1" applyFont="1" applyFill="1" applyBorder="1" applyAlignment="1">
      <alignment horizontal="left" vertical="top"/>
    </xf>
    <xf numFmtId="166" fontId="51" fillId="31" borderId="26" xfId="0" applyNumberFormat="1" applyFont="1" applyFill="1" applyBorder="1" applyAlignment="1" applyProtection="1">
      <alignment horizontal="center" vertical="top"/>
    </xf>
    <xf numFmtId="9" fontId="51" fillId="28" borderId="19" xfId="57" applyFont="1" applyFill="1" applyBorder="1" applyAlignment="1">
      <alignment horizontal="center" vertical="top"/>
    </xf>
    <xf numFmtId="9" fontId="50" fillId="28" borderId="19" xfId="57" applyFont="1" applyFill="1" applyBorder="1" applyAlignment="1">
      <alignment vertical="top" wrapText="1"/>
    </xf>
    <xf numFmtId="0" fontId="43" fillId="24" borderId="0" xfId="45" applyFont="1" applyFill="1"/>
    <xf numFmtId="44" fontId="29" fillId="24" borderId="10" xfId="0" applyNumberFormat="1" applyFont="1" applyFill="1" applyBorder="1" applyAlignment="1" applyProtection="1">
      <alignment horizontal="center" vertical="top"/>
    </xf>
    <xf numFmtId="1" fontId="29" fillId="24" borderId="10" xfId="0" applyNumberFormat="1" applyFont="1" applyFill="1" applyBorder="1" applyAlignment="1">
      <alignment horizontal="center" vertical="top"/>
    </xf>
    <xf numFmtId="9" fontId="29" fillId="24" borderId="10" xfId="0" applyNumberFormat="1" applyFont="1" applyFill="1" applyBorder="1" applyAlignment="1">
      <alignment horizontal="center" vertical="top"/>
    </xf>
    <xf numFmtId="0" fontId="29" fillId="24" borderId="10" xfId="45" applyFont="1" applyFill="1" applyBorder="1" applyAlignment="1" applyProtection="1">
      <alignment horizontal="center" vertical="top"/>
    </xf>
    <xf numFmtId="2" fontId="30" fillId="30" borderId="17" xfId="0" applyNumberFormat="1" applyFont="1" applyFill="1" applyBorder="1" applyAlignment="1">
      <alignment vertical="top" wrapText="1"/>
    </xf>
    <xf numFmtId="0" fontId="29" fillId="30" borderId="17" xfId="0" applyFont="1" applyFill="1" applyBorder="1" applyAlignment="1">
      <alignment vertical="top"/>
    </xf>
    <xf numFmtId="0" fontId="29" fillId="30" borderId="26" xfId="0" applyFont="1" applyFill="1" applyBorder="1" applyAlignment="1">
      <alignment vertical="top"/>
    </xf>
    <xf numFmtId="41" fontId="29" fillId="0" borderId="35" xfId="45" applyNumberFormat="1" applyFont="1" applyFill="1" applyBorder="1" applyAlignment="1">
      <alignment horizontal="center" vertical="top"/>
    </xf>
    <xf numFmtId="0" fontId="29" fillId="0" borderId="35" xfId="45" applyFont="1" applyFill="1" applyBorder="1" applyAlignment="1">
      <alignment horizontal="center" vertical="top"/>
    </xf>
    <xf numFmtId="165" fontId="29" fillId="0" borderId="15" xfId="55" applyNumberFormat="1" applyFont="1" applyFill="1" applyBorder="1" applyAlignment="1">
      <alignment horizontal="center" vertical="top"/>
    </xf>
    <xf numFmtId="166" fontId="30" fillId="0" borderId="37" xfId="45" applyNumberFormat="1" applyFont="1" applyFill="1" applyBorder="1" applyAlignment="1" applyProtection="1">
      <alignment horizontal="center" vertical="top"/>
    </xf>
    <xf numFmtId="1" fontId="40" fillId="0" borderId="10" xfId="0" applyNumberFormat="1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 applyProtection="1">
      <alignment horizontal="center" vertical="top"/>
    </xf>
    <xf numFmtId="0" fontId="29" fillId="24" borderId="16" xfId="0" applyFont="1" applyFill="1" applyBorder="1" applyAlignment="1" applyProtection="1">
      <alignment horizontal="center" vertical="top" wrapText="1"/>
    </xf>
    <xf numFmtId="41" fontId="29" fillId="24" borderId="18" xfId="45" applyNumberFormat="1" applyFont="1" applyFill="1" applyBorder="1" applyAlignment="1">
      <alignment horizontal="center" vertical="top"/>
    </xf>
    <xf numFmtId="9" fontId="29" fillId="24" borderId="18" xfId="45" applyNumberFormat="1" applyFont="1" applyFill="1" applyBorder="1" applyAlignment="1">
      <alignment horizontal="center" vertical="top"/>
    </xf>
    <xf numFmtId="0" fontId="29" fillId="24" borderId="18" xfId="45" applyFont="1" applyFill="1" applyBorder="1" applyAlignment="1">
      <alignment horizontal="center" vertical="top"/>
    </xf>
    <xf numFmtId="165" fontId="29" fillId="24" borderId="38" xfId="45" applyNumberFormat="1" applyFont="1" applyFill="1" applyBorder="1" applyAlignment="1" applyProtection="1">
      <alignment horizontal="center" vertical="top"/>
    </xf>
    <xf numFmtId="165" fontId="29" fillId="24" borderId="31" xfId="45" applyNumberFormat="1" applyFont="1" applyFill="1" applyBorder="1" applyAlignment="1">
      <alignment horizontal="center" vertical="top"/>
    </xf>
    <xf numFmtId="165" fontId="29" fillId="24" borderId="23" xfId="45" applyNumberFormat="1" applyFont="1" applyFill="1" applyBorder="1" applyAlignment="1">
      <alignment horizontal="center" vertical="top"/>
    </xf>
    <xf numFmtId="1" fontId="29" fillId="0" borderId="10" xfId="45" applyNumberFormat="1" applyFont="1" applyFill="1" applyBorder="1" applyAlignment="1">
      <alignment horizontal="center" vertical="top"/>
    </xf>
    <xf numFmtId="9" fontId="29" fillId="0" borderId="15" xfId="45" applyNumberFormat="1" applyFont="1" applyFill="1" applyBorder="1" applyAlignment="1">
      <alignment horizontal="center" vertical="top"/>
    </xf>
    <xf numFmtId="41" fontId="29" fillId="0" borderId="10" xfId="45" applyNumberFormat="1" applyFont="1" applyFill="1" applyBorder="1" applyAlignment="1">
      <alignment horizontal="center" vertical="top"/>
    </xf>
    <xf numFmtId="0" fontId="29" fillId="0" borderId="10" xfId="45" applyFont="1" applyFill="1" applyBorder="1" applyAlignment="1">
      <alignment horizontal="center" vertical="top"/>
    </xf>
    <xf numFmtId="165" fontId="29" fillId="0" borderId="16" xfId="45" applyNumberFormat="1" applyFont="1" applyFill="1" applyBorder="1" applyAlignment="1" applyProtection="1">
      <alignment horizontal="center" vertical="top"/>
    </xf>
    <xf numFmtId="165" fontId="30" fillId="0" borderId="26" xfId="55" applyNumberFormat="1" applyFont="1" applyFill="1" applyBorder="1" applyAlignment="1">
      <alignment horizontal="center" vertical="top"/>
    </xf>
    <xf numFmtId="2" fontId="30" fillId="0" borderId="16" xfId="0" applyNumberFormat="1" applyFont="1" applyFill="1" applyBorder="1" applyAlignment="1">
      <alignment horizontal="left" vertical="top" wrapText="1"/>
    </xf>
    <xf numFmtId="165" fontId="29" fillId="27" borderId="16" xfId="55" applyNumberFormat="1" applyFont="1" applyFill="1" applyBorder="1" applyAlignment="1" applyProtection="1">
      <alignment horizontal="center" vertical="top"/>
    </xf>
    <xf numFmtId="0" fontId="29" fillId="0" borderId="39" xfId="45" applyFont="1" applyFill="1" applyBorder="1" applyAlignment="1" applyProtection="1">
      <alignment horizontal="center" vertical="top"/>
    </xf>
    <xf numFmtId="0" fontId="34" fillId="24" borderId="40" xfId="0" applyFont="1" applyFill="1" applyBorder="1" applyAlignment="1">
      <alignment vertical="top"/>
    </xf>
    <xf numFmtId="0" fontId="29" fillId="24" borderId="28" xfId="0" applyFont="1" applyFill="1" applyBorder="1" applyAlignment="1" applyProtection="1">
      <alignment horizontal="center" vertical="top"/>
    </xf>
    <xf numFmtId="0" fontId="29" fillId="24" borderId="27" xfId="0" applyFont="1" applyFill="1" applyBorder="1" applyAlignment="1" applyProtection="1">
      <alignment horizontal="center" vertical="top"/>
    </xf>
    <xf numFmtId="0" fontId="29" fillId="24" borderId="29" xfId="0" applyFont="1" applyFill="1" applyBorder="1" applyAlignment="1" applyProtection="1">
      <alignment horizontal="center" vertical="top"/>
    </xf>
    <xf numFmtId="0" fontId="29" fillId="24" borderId="15" xfId="45" applyFont="1" applyFill="1" applyBorder="1" applyAlignment="1">
      <alignment horizontal="center" vertical="top"/>
    </xf>
    <xf numFmtId="0" fontId="29" fillId="30" borderId="25" xfId="0" applyFont="1" applyFill="1" applyBorder="1" applyAlignment="1" applyProtection="1">
      <alignment horizontal="center" vertical="top"/>
    </xf>
    <xf numFmtId="0" fontId="29" fillId="24" borderId="16" xfId="0" applyFont="1" applyFill="1" applyBorder="1" applyAlignment="1" applyProtection="1">
      <alignment horizontal="center" vertical="top"/>
    </xf>
    <xf numFmtId="0" fontId="29" fillId="24" borderId="0" xfId="45" applyFont="1" applyFill="1" applyBorder="1" applyAlignment="1">
      <alignment vertical="top"/>
    </xf>
    <xf numFmtId="1" fontId="30" fillId="24" borderId="10" xfId="0" applyNumberFormat="1" applyFont="1" applyFill="1" applyBorder="1" applyAlignment="1" applyProtection="1">
      <alignment horizontal="center" vertical="top" wrapText="1"/>
    </xf>
    <xf numFmtId="0" fontId="30" fillId="26" borderId="17" xfId="0" applyFont="1" applyFill="1" applyBorder="1" applyAlignment="1">
      <alignment vertical="top" wrapText="1"/>
    </xf>
    <xf numFmtId="0" fontId="29" fillId="24" borderId="22" xfId="0" applyFont="1" applyFill="1" applyBorder="1" applyAlignment="1">
      <alignment vertical="top"/>
    </xf>
    <xf numFmtId="2" fontId="29" fillId="0" borderId="15" xfId="45" applyNumberFormat="1" applyFont="1" applyBorder="1" applyAlignment="1">
      <alignment horizontal="left" vertical="top" wrapText="1"/>
    </xf>
    <xf numFmtId="0" fontId="31" fillId="29" borderId="25" xfId="0" applyFont="1" applyFill="1" applyBorder="1" applyAlignment="1" applyProtection="1">
      <alignment horizontal="center" vertical="top" wrapText="1"/>
    </xf>
    <xf numFmtId="1" fontId="31" fillId="29" borderId="17" xfId="0" applyNumberFormat="1" applyFont="1" applyFill="1" applyBorder="1" applyAlignment="1" applyProtection="1">
      <alignment horizontal="center" vertical="top" wrapText="1"/>
    </xf>
    <xf numFmtId="44" fontId="31" fillId="29" borderId="17" xfId="0" applyNumberFormat="1" applyFont="1" applyFill="1" applyBorder="1" applyAlignment="1" applyProtection="1">
      <alignment horizontal="center" vertical="top" wrapText="1"/>
    </xf>
    <xf numFmtId="0" fontId="31" fillId="29" borderId="17" xfId="0" applyFont="1" applyFill="1" applyBorder="1" applyAlignment="1" applyProtection="1">
      <alignment horizontal="center" vertical="top" wrapText="1"/>
    </xf>
    <xf numFmtId="164" fontId="31" fillId="29" borderId="26" xfId="0" applyNumberFormat="1" applyFont="1" applyFill="1" applyBorder="1" applyAlignment="1" applyProtection="1">
      <alignment horizontal="center" vertical="top" wrapText="1"/>
    </xf>
    <xf numFmtId="0" fontId="40" fillId="0" borderId="0" xfId="0" applyFont="1" applyFill="1" applyBorder="1" applyAlignment="1">
      <alignment vertical="top"/>
    </xf>
    <xf numFmtId="9" fontId="29" fillId="0" borderId="39" xfId="0" applyNumberFormat="1" applyFont="1" applyFill="1" applyBorder="1" applyAlignment="1">
      <alignment horizontal="center" vertical="top"/>
    </xf>
    <xf numFmtId="41" fontId="29" fillId="0" borderId="41" xfId="0" applyNumberFormat="1" applyFont="1" applyFill="1" applyBorder="1" applyAlignment="1">
      <alignment horizontal="center" vertical="top"/>
    </xf>
    <xf numFmtId="0" fontId="29" fillId="0" borderId="41" xfId="0" applyFont="1" applyFill="1" applyBorder="1" applyAlignment="1">
      <alignment horizontal="center" vertical="top"/>
    </xf>
    <xf numFmtId="44" fontId="29" fillId="0" borderId="41" xfId="55" applyNumberFormat="1" applyFont="1" applyFill="1" applyBorder="1" applyAlignment="1">
      <alignment horizontal="center" vertical="top"/>
    </xf>
    <xf numFmtId="166" fontId="30" fillId="0" borderId="42" xfId="0" applyNumberFormat="1" applyFont="1" applyFill="1" applyBorder="1" applyAlignment="1" applyProtection="1">
      <alignment horizontal="center" vertical="top"/>
    </xf>
    <xf numFmtId="44" fontId="29" fillId="0" borderId="10" xfId="55" applyNumberFormat="1" applyFont="1" applyFill="1" applyBorder="1" applyAlignment="1">
      <alignment horizontal="center" vertical="top"/>
    </xf>
    <xf numFmtId="0" fontId="29" fillId="24" borderId="34" xfId="0" applyFont="1" applyFill="1" applyBorder="1" applyAlignment="1">
      <alignment horizontal="center" vertical="top" wrapText="1"/>
    </xf>
    <xf numFmtId="2" fontId="38" fillId="0" borderId="15" xfId="0" applyNumberFormat="1" applyFont="1" applyFill="1" applyBorder="1" applyAlignment="1">
      <alignment horizontal="left" vertical="top" wrapText="1"/>
    </xf>
    <xf numFmtId="2" fontId="36" fillId="29" borderId="26" xfId="45" applyNumberFormat="1" applyFont="1" applyFill="1" applyBorder="1" applyAlignment="1">
      <alignment horizontal="right" vertical="top"/>
    </xf>
    <xf numFmtId="0" fontId="29" fillId="24" borderId="34" xfId="0" applyFont="1" applyFill="1" applyBorder="1" applyAlignment="1" applyProtection="1">
      <alignment horizontal="center" vertical="top"/>
    </xf>
    <xf numFmtId="41" fontId="29" fillId="0" borderId="39" xfId="45" applyNumberFormat="1" applyFont="1" applyFill="1" applyBorder="1" applyAlignment="1">
      <alignment horizontal="center" vertical="top"/>
    </xf>
    <xf numFmtId="0" fontId="29" fillId="0" borderId="41" xfId="45" applyFont="1" applyFill="1" applyBorder="1" applyAlignment="1">
      <alignment horizontal="center" vertical="top"/>
    </xf>
    <xf numFmtId="1" fontId="29" fillId="0" borderId="28" xfId="0" applyNumberFormat="1" applyFont="1" applyFill="1" applyBorder="1" applyAlignment="1" applyProtection="1">
      <alignment horizontal="right" vertical="top"/>
    </xf>
    <xf numFmtId="1" fontId="29" fillId="24" borderId="43" xfId="0" applyNumberFormat="1" applyFont="1" applyFill="1" applyBorder="1" applyAlignment="1" applyProtection="1">
      <alignment horizontal="center" vertical="top"/>
    </xf>
    <xf numFmtId="2" fontId="30" fillId="33" borderId="19" xfId="0" applyNumberFormat="1" applyFont="1" applyFill="1" applyBorder="1" applyAlignment="1">
      <alignment horizontal="center" vertical="top" wrapText="1"/>
    </xf>
    <xf numFmtId="2" fontId="29" fillId="24" borderId="15" xfId="0" applyNumberFormat="1" applyFont="1" applyFill="1" applyBorder="1" applyAlignment="1">
      <alignment horizontal="left" vertical="top" wrapText="1"/>
    </xf>
    <xf numFmtId="0" fontId="2" fillId="0" borderId="0" xfId="66"/>
    <xf numFmtId="0" fontId="29" fillId="24" borderId="44" xfId="45" applyFont="1" applyFill="1" applyBorder="1" applyAlignment="1">
      <alignment horizontal="center" vertical="top"/>
    </xf>
    <xf numFmtId="0" fontId="2" fillId="0" borderId="15" xfId="66" applyBorder="1"/>
    <xf numFmtId="0" fontId="2" fillId="0" borderId="10" xfId="66" applyBorder="1"/>
    <xf numFmtId="0" fontId="54" fillId="0" borderId="19" xfId="66" applyFont="1" applyBorder="1"/>
    <xf numFmtId="0" fontId="2" fillId="0" borderId="10" xfId="66" applyBorder="1" applyAlignment="1">
      <alignment horizontal="center"/>
    </xf>
    <xf numFmtId="0" fontId="2" fillId="0" borderId="10" xfId="66" applyBorder="1" applyAlignment="1">
      <alignment wrapText="1"/>
    </xf>
    <xf numFmtId="0" fontId="29" fillId="0" borderId="0" xfId="45" applyFont="1" applyAlignment="1">
      <alignment vertical="top"/>
    </xf>
    <xf numFmtId="0" fontId="2" fillId="0" borderId="0" xfId="66" applyAlignment="1">
      <alignment horizontal="center" vertical="center"/>
    </xf>
    <xf numFmtId="0" fontId="29" fillId="24" borderId="39" xfId="45" applyFont="1" applyFill="1" applyBorder="1" applyAlignment="1">
      <alignment horizontal="center" vertical="top"/>
    </xf>
    <xf numFmtId="0" fontId="2" fillId="0" borderId="15" xfId="66" applyFill="1" applyBorder="1"/>
    <xf numFmtId="0" fontId="29" fillId="24" borderId="24" xfId="45" applyFont="1" applyFill="1" applyBorder="1" applyAlignment="1">
      <alignment horizontal="center" vertical="top"/>
    </xf>
    <xf numFmtId="0" fontId="2" fillId="0" borderId="10" xfId="66" applyFill="1" applyBorder="1" applyAlignment="1">
      <alignment horizontal="center"/>
    </xf>
    <xf numFmtId="1" fontId="29" fillId="0" borderId="15" xfId="45" applyNumberFormat="1" applyFont="1" applyBorder="1" applyAlignment="1">
      <alignment horizontal="center" vertical="top"/>
    </xf>
    <xf numFmtId="0" fontId="29" fillId="24" borderId="28" xfId="0" applyFont="1" applyFill="1" applyBorder="1" applyAlignment="1" applyProtection="1">
      <alignment horizontal="center" vertical="top" wrapText="1"/>
    </xf>
    <xf numFmtId="0" fontId="29" fillId="24" borderId="15" xfId="45" applyFont="1" applyFill="1" applyBorder="1" applyAlignment="1">
      <alignment horizontal="center" vertical="top" wrapText="1"/>
    </xf>
    <xf numFmtId="1" fontId="44" fillId="0" borderId="10" xfId="45" applyNumberFormat="1" applyFont="1" applyBorder="1" applyAlignment="1">
      <alignment horizontal="right" vertical="top"/>
    </xf>
    <xf numFmtId="0" fontId="45" fillId="0" borderId="0" xfId="45" applyFont="1" applyAlignment="1">
      <alignment vertical="top"/>
    </xf>
    <xf numFmtId="44" fontId="29" fillId="0" borderId="10" xfId="0" applyNumberFormat="1" applyFont="1" applyFill="1" applyBorder="1" applyAlignment="1" applyProtection="1">
      <alignment horizontal="center" vertical="top"/>
    </xf>
    <xf numFmtId="1" fontId="44" fillId="0" borderId="15" xfId="45" applyNumberFormat="1" applyFont="1" applyBorder="1" applyAlignment="1">
      <alignment horizontal="right" vertical="top"/>
    </xf>
    <xf numFmtId="44" fontId="29" fillId="24" borderId="15" xfId="55" applyNumberFormat="1" applyFont="1" applyFill="1" applyBorder="1" applyAlignment="1" applyProtection="1">
      <alignment horizontal="center" vertical="top"/>
    </xf>
    <xf numFmtId="9" fontId="29" fillId="24" borderId="15" xfId="58" applyFont="1" applyFill="1" applyBorder="1" applyAlignment="1" applyProtection="1">
      <alignment horizontal="center" vertical="top"/>
    </xf>
    <xf numFmtId="41" fontId="29" fillId="0" borderId="15" xfId="45" applyNumberFormat="1" applyFont="1" applyBorder="1" applyAlignment="1">
      <alignment horizontal="center" vertical="top"/>
    </xf>
    <xf numFmtId="0" fontId="29" fillId="0" borderId="15" xfId="45" applyFont="1" applyBorder="1" applyAlignment="1">
      <alignment horizontal="center" vertical="top"/>
    </xf>
    <xf numFmtId="167" fontId="29" fillId="24" borderId="18" xfId="0" applyNumberFormat="1" applyFont="1" applyFill="1" applyBorder="1" applyAlignment="1" applyProtection="1">
      <alignment horizontal="center" vertical="top"/>
    </xf>
    <xf numFmtId="167" fontId="29" fillId="0" borderId="10" xfId="0" applyNumberFormat="1" applyFont="1" applyFill="1" applyBorder="1" applyAlignment="1" applyProtection="1">
      <alignment horizontal="center" vertical="top"/>
    </xf>
    <xf numFmtId="165" fontId="30" fillId="24" borderId="26" xfId="55" applyNumberFormat="1" applyFont="1" applyFill="1" applyBorder="1" applyAlignment="1">
      <alignment horizontal="center" vertical="top"/>
    </xf>
    <xf numFmtId="2" fontId="29" fillId="0" borderId="16" xfId="0" applyNumberFormat="1" applyFont="1" applyFill="1" applyBorder="1" applyAlignment="1">
      <alignment horizontal="left" vertical="top" wrapText="1"/>
    </xf>
    <xf numFmtId="9" fontId="29" fillId="0" borderId="10" xfId="0" applyNumberFormat="1" applyFont="1" applyFill="1" applyBorder="1" applyAlignment="1">
      <alignment horizontal="center" vertical="top"/>
    </xf>
    <xf numFmtId="44" fontId="29" fillId="0" borderId="15" xfId="55" applyNumberFormat="1" applyFont="1" applyFill="1" applyBorder="1" applyAlignment="1">
      <alignment horizontal="center" vertical="top"/>
    </xf>
    <xf numFmtId="165" fontId="29" fillId="0" borderId="37" xfId="0" applyNumberFormat="1" applyFont="1" applyFill="1" applyBorder="1" applyAlignment="1">
      <alignment horizontal="center" vertical="top"/>
    </xf>
    <xf numFmtId="9" fontId="29" fillId="0" borderId="24" xfId="0" applyNumberFormat="1" applyFont="1" applyFill="1" applyBorder="1" applyAlignment="1">
      <alignment horizontal="center" vertical="top"/>
    </xf>
    <xf numFmtId="2" fontId="38" fillId="0" borderId="10" xfId="0" applyNumberFormat="1" applyFont="1" applyFill="1" applyBorder="1" applyAlignment="1">
      <alignment horizontal="left" vertical="top" wrapText="1"/>
    </xf>
    <xf numFmtId="165" fontId="29" fillId="0" borderId="30" xfId="55" applyNumberFormat="1" applyFont="1" applyFill="1" applyBorder="1" applyAlignment="1">
      <alignment horizontal="center" vertical="top"/>
    </xf>
    <xf numFmtId="1" fontId="55" fillId="0" borderId="15" xfId="45" applyNumberFormat="1" applyFont="1" applyBorder="1" applyAlignment="1">
      <alignment horizontal="right" vertical="top"/>
    </xf>
    <xf numFmtId="1" fontId="29" fillId="0" borderId="35" xfId="45" applyNumberFormat="1" applyFont="1" applyBorder="1" applyAlignment="1">
      <alignment horizontal="center" vertical="top"/>
    </xf>
    <xf numFmtId="41" fontId="29" fillId="0" borderId="35" xfId="45" applyNumberFormat="1" applyFont="1" applyBorder="1" applyAlignment="1">
      <alignment horizontal="center" vertical="top"/>
    </xf>
    <xf numFmtId="0" fontId="29" fillId="0" borderId="35" xfId="45" applyFont="1" applyBorder="1" applyAlignment="1">
      <alignment horizontal="center" vertical="top"/>
    </xf>
    <xf numFmtId="0" fontId="40" fillId="24" borderId="15" xfId="45" applyFont="1" applyFill="1" applyBorder="1" applyAlignment="1">
      <alignment horizontal="center" vertical="top" wrapText="1"/>
    </xf>
    <xf numFmtId="0" fontId="29" fillId="24" borderId="12" xfId="45" applyFont="1" applyFill="1" applyBorder="1" applyAlignment="1">
      <alignment horizontal="center" vertical="top"/>
    </xf>
    <xf numFmtId="0" fontId="31" fillId="29" borderId="25" xfId="45" applyFont="1" applyFill="1" applyBorder="1" applyAlignment="1" applyProtection="1">
      <alignment horizontal="center" vertical="top" wrapText="1"/>
    </xf>
    <xf numFmtId="0" fontId="31" fillId="29" borderId="17" xfId="45" applyFont="1" applyFill="1" applyBorder="1" applyAlignment="1" applyProtection="1">
      <alignment horizontal="center" vertical="top" wrapText="1"/>
    </xf>
    <xf numFmtId="0" fontId="31" fillId="29" borderId="26" xfId="45" applyFont="1" applyFill="1" applyBorder="1" applyAlignment="1" applyProtection="1">
      <alignment horizontal="center" vertical="top" wrapText="1"/>
    </xf>
    <xf numFmtId="2" fontId="33" fillId="29" borderId="11" xfId="0" applyNumberFormat="1" applyFont="1" applyFill="1" applyBorder="1" applyAlignment="1">
      <alignment horizontal="center" vertical="top"/>
    </xf>
    <xf numFmtId="0" fontId="29" fillId="24" borderId="22" xfId="45" applyFont="1" applyFill="1" applyBorder="1" applyAlignment="1">
      <alignment vertical="top"/>
    </xf>
    <xf numFmtId="0" fontId="29" fillId="24" borderId="23" xfId="45" applyFont="1" applyFill="1" applyBorder="1" applyAlignment="1">
      <alignment vertical="top"/>
    </xf>
    <xf numFmtId="44" fontId="39" fillId="24" borderId="0" xfId="0" applyNumberFormat="1" applyFont="1" applyFill="1" applyBorder="1" applyAlignment="1">
      <alignment horizontal="left" vertical="top"/>
    </xf>
    <xf numFmtId="2" fontId="31" fillId="29" borderId="32" xfId="0" applyNumberFormat="1" applyFont="1" applyFill="1" applyBorder="1" applyAlignment="1">
      <alignment horizontal="left" vertical="top"/>
    </xf>
    <xf numFmtId="2" fontId="31" fillId="29" borderId="11" xfId="0" applyNumberFormat="1" applyFont="1" applyFill="1" applyBorder="1" applyAlignment="1">
      <alignment horizontal="left" vertical="top"/>
    </xf>
    <xf numFmtId="2" fontId="31" fillId="29" borderId="11" xfId="0" applyNumberFormat="1" applyFont="1" applyFill="1" applyBorder="1" applyAlignment="1">
      <alignment horizontal="center" vertical="top"/>
    </xf>
    <xf numFmtId="2" fontId="30" fillId="24" borderId="40" xfId="0" applyNumberFormat="1" applyFont="1" applyFill="1" applyBorder="1" applyAlignment="1">
      <alignment horizontal="left" vertical="top"/>
    </xf>
    <xf numFmtId="2" fontId="30" fillId="24" borderId="11" xfId="0" applyNumberFormat="1" applyFont="1" applyFill="1" applyBorder="1" applyAlignment="1">
      <alignment vertical="top"/>
    </xf>
    <xf numFmtId="2" fontId="30" fillId="24" borderId="33" xfId="45" applyNumberFormat="1" applyFont="1" applyFill="1" applyBorder="1" applyAlignment="1">
      <alignment vertical="top"/>
    </xf>
    <xf numFmtId="0" fontId="29" fillId="24" borderId="20" xfId="0" applyFont="1" applyFill="1" applyBorder="1" applyAlignment="1">
      <alignment horizontal="left" vertical="top"/>
    </xf>
    <xf numFmtId="2" fontId="30" fillId="24" borderId="0" xfId="0" applyNumberFormat="1" applyFont="1" applyFill="1" applyBorder="1" applyAlignment="1">
      <alignment vertical="top"/>
    </xf>
    <xf numFmtId="0" fontId="34" fillId="0" borderId="15" xfId="66" applyFont="1" applyBorder="1"/>
    <xf numFmtId="0" fontId="34" fillId="0" borderId="15" xfId="66" applyFont="1" applyBorder="1" applyAlignment="1">
      <alignment horizontal="center" vertical="center"/>
    </xf>
    <xf numFmtId="0" fontId="34" fillId="0" borderId="21" xfId="66" applyFont="1" applyBorder="1"/>
    <xf numFmtId="0" fontId="51" fillId="0" borderId="19" xfId="66" applyFont="1" applyBorder="1"/>
    <xf numFmtId="0" fontId="34" fillId="0" borderId="10" xfId="66" applyFont="1" applyBorder="1" applyAlignment="1">
      <alignment horizontal="center"/>
    </xf>
    <xf numFmtId="0" fontId="34" fillId="0" borderId="10" xfId="66" applyFont="1" applyBorder="1" applyAlignment="1">
      <alignment horizontal="center" vertical="center"/>
    </xf>
    <xf numFmtId="0" fontId="34" fillId="0" borderId="10" xfId="66" applyFont="1" applyBorder="1"/>
    <xf numFmtId="0" fontId="56" fillId="0" borderId="30" xfId="66" applyFont="1" applyBorder="1"/>
    <xf numFmtId="44" fontId="34" fillId="0" borderId="10" xfId="66" applyNumberFormat="1" applyFont="1" applyBorder="1"/>
    <xf numFmtId="0" fontId="34" fillId="0" borderId="30" xfId="66" applyFont="1" applyBorder="1"/>
    <xf numFmtId="165" fontId="51" fillId="0" borderId="10" xfId="66" applyNumberFormat="1" applyFont="1" applyFill="1" applyBorder="1"/>
    <xf numFmtId="0" fontId="34" fillId="0" borderId="0" xfId="66" applyFont="1"/>
    <xf numFmtId="0" fontId="34" fillId="0" borderId="0" xfId="66" applyFont="1" applyAlignment="1">
      <alignment horizontal="center" vertical="center"/>
    </xf>
    <xf numFmtId="44" fontId="29" fillId="27" borderId="10" xfId="67" applyFont="1" applyFill="1" applyBorder="1"/>
    <xf numFmtId="44" fontId="34" fillId="27" borderId="10" xfId="66" applyNumberFormat="1" applyFont="1" applyFill="1" applyBorder="1"/>
    <xf numFmtId="167" fontId="30" fillId="24" borderId="10" xfId="45" applyNumberFormat="1" applyFont="1" applyFill="1" applyBorder="1" applyAlignment="1">
      <alignment horizontal="center" vertical="center"/>
    </xf>
    <xf numFmtId="166" fontId="33" fillId="29" borderId="17" xfId="45" applyNumberFormat="1" applyFont="1" applyFill="1" applyBorder="1" applyAlignment="1">
      <alignment vertical="top"/>
    </xf>
    <xf numFmtId="166" fontId="31" fillId="29" borderId="45" xfId="45" applyNumberFormat="1" applyFont="1" applyFill="1" applyBorder="1" applyAlignment="1">
      <alignment horizontal="center" vertical="top"/>
    </xf>
    <xf numFmtId="10" fontId="30" fillId="34" borderId="19" xfId="57" applyNumberFormat="1" applyFont="1" applyFill="1" applyBorder="1" applyAlignment="1">
      <alignment horizontal="center" vertical="top"/>
    </xf>
    <xf numFmtId="166" fontId="30" fillId="31" borderId="26" xfId="45" applyNumberFormat="1" applyFont="1" applyFill="1" applyBorder="1" applyAlignment="1">
      <alignment horizontal="center" vertical="top"/>
    </xf>
    <xf numFmtId="0" fontId="31" fillId="29" borderId="25" xfId="45" applyFont="1" applyFill="1" applyBorder="1" applyAlignment="1">
      <alignment horizontal="left" vertical="top"/>
    </xf>
    <xf numFmtId="2" fontId="33" fillId="29" borderId="17" xfId="45" applyNumberFormat="1" applyFont="1" applyFill="1" applyBorder="1" applyAlignment="1">
      <alignment horizontal="left" vertical="top" wrapText="1"/>
    </xf>
    <xf numFmtId="41" fontId="33" fillId="29" borderId="17" xfId="45" applyNumberFormat="1" applyFont="1" applyFill="1" applyBorder="1" applyAlignment="1">
      <alignment horizontal="center" vertical="top"/>
    </xf>
    <xf numFmtId="0" fontId="33" fillId="29" borderId="17" xfId="45" applyFont="1" applyFill="1" applyBorder="1" applyAlignment="1">
      <alignment horizontal="center" vertical="top"/>
    </xf>
    <xf numFmtId="167" fontId="33" fillId="29" borderId="17" xfId="45" applyNumberFormat="1" applyFont="1" applyFill="1" applyBorder="1" applyAlignment="1">
      <alignment horizontal="center" vertical="top"/>
    </xf>
    <xf numFmtId="2" fontId="30" fillId="31" borderId="17" xfId="45" applyNumberFormat="1" applyFont="1" applyFill="1" applyBorder="1" applyAlignment="1">
      <alignment horizontal="left" vertical="top" wrapText="1"/>
    </xf>
    <xf numFmtId="41" fontId="30" fillId="31" borderId="17" xfId="45" applyNumberFormat="1" applyFont="1" applyFill="1" applyBorder="1" applyAlignment="1">
      <alignment horizontal="center" vertical="top"/>
    </xf>
    <xf numFmtId="0" fontId="30" fillId="31" borderId="17" xfId="45" applyFont="1" applyFill="1" applyBorder="1" applyAlignment="1">
      <alignment horizontal="center" vertical="top"/>
    </xf>
    <xf numFmtId="167" fontId="30" fillId="31" borderId="17" xfId="45" applyNumberFormat="1" applyFont="1" applyFill="1" applyBorder="1" applyAlignment="1">
      <alignment horizontal="center" vertical="top"/>
    </xf>
    <xf numFmtId="166" fontId="52" fillId="31" borderId="17" xfId="45" applyNumberFormat="1" applyFont="1" applyFill="1" applyBorder="1" applyAlignment="1">
      <alignment horizontal="right" vertical="top"/>
    </xf>
    <xf numFmtId="0" fontId="30" fillId="31" borderId="25" xfId="45" applyFont="1" applyFill="1" applyBorder="1" applyAlignment="1">
      <alignment horizontal="left" vertical="top"/>
    </xf>
    <xf numFmtId="0" fontId="51" fillId="0" borderId="15" xfId="66" applyFont="1" applyBorder="1"/>
    <xf numFmtId="0" fontId="34" fillId="0" borderId="34" xfId="66" applyFont="1" applyBorder="1"/>
    <xf numFmtId="0" fontId="51" fillId="0" borderId="10" xfId="66" applyFont="1" applyBorder="1"/>
    <xf numFmtId="0" fontId="51" fillId="34" borderId="19" xfId="66" applyFont="1" applyFill="1" applyBorder="1" applyAlignment="1">
      <alignment horizontal="center" vertical="center"/>
    </xf>
    <xf numFmtId="2" fontId="41" fillId="29" borderId="17" xfId="45" applyNumberFormat="1" applyFont="1" applyFill="1" applyBorder="1" applyAlignment="1">
      <alignment horizontal="left" vertical="top"/>
    </xf>
    <xf numFmtId="2" fontId="41" fillId="29" borderId="17" xfId="45" applyNumberFormat="1" applyFont="1" applyFill="1" applyBorder="1" applyAlignment="1">
      <alignment vertical="top"/>
    </xf>
    <xf numFmtId="2" fontId="41" fillId="29" borderId="17" xfId="45" applyNumberFormat="1" applyFont="1" applyFill="1" applyBorder="1" applyAlignment="1">
      <alignment horizontal="center" vertical="top"/>
    </xf>
    <xf numFmtId="2" fontId="47" fillId="29" borderId="17" xfId="45" applyNumberFormat="1" applyFont="1" applyFill="1" applyBorder="1" applyAlignment="1">
      <alignment horizontal="center" vertical="top"/>
    </xf>
    <xf numFmtId="44" fontId="47" fillId="29" borderId="17" xfId="55" applyFont="1" applyFill="1" applyBorder="1" applyAlignment="1">
      <alignment horizontal="center" vertical="top"/>
    </xf>
    <xf numFmtId="2" fontId="41" fillId="29" borderId="26" xfId="45" applyNumberFormat="1" applyFont="1" applyFill="1" applyBorder="1" applyAlignment="1">
      <alignment horizontal="center" vertical="top"/>
    </xf>
    <xf numFmtId="0" fontId="29" fillId="0" borderId="11" xfId="45" applyFont="1" applyBorder="1" applyAlignment="1">
      <alignment vertical="top"/>
    </xf>
    <xf numFmtId="0" fontId="43" fillId="24" borderId="22" xfId="45" applyFont="1" applyFill="1" applyBorder="1" applyAlignment="1">
      <alignment horizontal="center" vertical="top"/>
    </xf>
    <xf numFmtId="2" fontId="42" fillId="24" borderId="11" xfId="45" applyNumberFormat="1" applyFont="1" applyFill="1" applyBorder="1" applyAlignment="1">
      <alignment vertical="top"/>
    </xf>
    <xf numFmtId="0" fontId="43" fillId="24" borderId="11" xfId="45" applyFont="1" applyFill="1" applyBorder="1" applyAlignment="1">
      <alignment vertical="top"/>
    </xf>
    <xf numFmtId="0" fontId="29" fillId="24" borderId="0" xfId="45" applyFont="1" applyFill="1" applyAlignment="1">
      <alignment vertical="top"/>
    </xf>
    <xf numFmtId="165" fontId="42" fillId="24" borderId="0" xfId="55" applyNumberFormat="1" applyFont="1" applyFill="1" applyBorder="1" applyAlignment="1" applyProtection="1">
      <alignment horizontal="left" vertical="top"/>
    </xf>
    <xf numFmtId="0" fontId="33" fillId="0" borderId="0" xfId="45" applyFont="1" applyAlignment="1">
      <alignment horizontal="center" vertical="top" wrapText="1"/>
    </xf>
    <xf numFmtId="2" fontId="8" fillId="24" borderId="0" xfId="45" applyNumberFormat="1" applyFont="1" applyFill="1" applyAlignment="1">
      <alignment vertical="top"/>
    </xf>
    <xf numFmtId="0" fontId="57" fillId="24" borderId="10" xfId="45" applyFont="1" applyFill="1" applyBorder="1" applyAlignment="1">
      <alignment horizontal="center" vertical="top"/>
    </xf>
    <xf numFmtId="1" fontId="57" fillId="30" borderId="26" xfId="45" applyNumberFormat="1" applyFont="1" applyFill="1" applyBorder="1" applyAlignment="1">
      <alignment horizontal="center" vertical="top"/>
    </xf>
    <xf numFmtId="166" fontId="52" fillId="24" borderId="20" xfId="45" applyNumberFormat="1" applyFont="1" applyFill="1" applyBorder="1" applyAlignment="1">
      <alignment horizontal="center" vertical="top"/>
    </xf>
    <xf numFmtId="0" fontId="57" fillId="0" borderId="0" xfId="45" applyFont="1" applyAlignment="1">
      <alignment vertical="top"/>
    </xf>
    <xf numFmtId="0" fontId="29" fillId="0" borderId="24" xfId="45" applyFont="1" applyBorder="1" applyAlignment="1">
      <alignment horizontal="center" vertical="top"/>
    </xf>
    <xf numFmtId="0" fontId="29" fillId="24" borderId="16" xfId="45" applyFont="1" applyFill="1" applyBorder="1" applyAlignment="1">
      <alignment horizontal="center" vertical="top" wrapText="1"/>
    </xf>
    <xf numFmtId="170" fontId="52" fillId="24" borderId="10" xfId="45" applyNumberFormat="1" applyFont="1" applyFill="1" applyBorder="1" applyAlignment="1">
      <alignment horizontal="center" vertical="top" wrapText="1"/>
    </xf>
    <xf numFmtId="2" fontId="29" fillId="0" borderId="43" xfId="45" applyNumberFormat="1" applyFont="1" applyBorder="1" applyAlignment="1">
      <alignment horizontal="left" vertical="top" wrapText="1"/>
    </xf>
    <xf numFmtId="44" fontId="29" fillId="27" borderId="10" xfId="55" applyFont="1" applyFill="1" applyBorder="1" applyAlignment="1" applyProtection="1">
      <alignment horizontal="center" vertical="top"/>
    </xf>
    <xf numFmtId="165" fontId="29" fillId="0" borderId="16" xfId="45" applyNumberFormat="1" applyFont="1" applyBorder="1" applyAlignment="1">
      <alignment horizontal="center" vertical="top"/>
    </xf>
    <xf numFmtId="166" fontId="30" fillId="24" borderId="20" xfId="45" applyNumberFormat="1" applyFont="1" applyFill="1" applyBorder="1" applyAlignment="1">
      <alignment horizontal="center" vertical="top"/>
    </xf>
    <xf numFmtId="0" fontId="29" fillId="24" borderId="10" xfId="45" applyFont="1" applyFill="1" applyBorder="1" applyAlignment="1">
      <alignment horizontal="center" vertical="top" wrapText="1"/>
    </xf>
    <xf numFmtId="2" fontId="29" fillId="0" borderId="47" xfId="45" applyNumberFormat="1" applyFont="1" applyBorder="1" applyAlignment="1">
      <alignment horizontal="left" vertical="top" wrapText="1"/>
    </xf>
    <xf numFmtId="1" fontId="29" fillId="0" borderId="10" xfId="45" applyNumberFormat="1" applyFont="1" applyBorder="1" applyAlignment="1">
      <alignment horizontal="center" vertical="top"/>
    </xf>
    <xf numFmtId="9" fontId="29" fillId="24" borderId="10" xfId="45" applyNumberFormat="1" applyFont="1" applyFill="1" applyBorder="1" applyAlignment="1">
      <alignment horizontal="center" vertical="top"/>
    </xf>
    <xf numFmtId="44" fontId="29" fillId="0" borderId="10" xfId="55" applyFont="1" applyFill="1" applyBorder="1" applyAlignment="1" applyProtection="1">
      <alignment horizontal="center" vertical="top"/>
    </xf>
    <xf numFmtId="44" fontId="29" fillId="0" borderId="0" xfId="45" applyNumberFormat="1" applyFont="1" applyAlignment="1">
      <alignment vertical="top"/>
    </xf>
    <xf numFmtId="2" fontId="29" fillId="0" borderId="48" xfId="45" applyNumberFormat="1" applyFont="1" applyBorder="1" applyAlignment="1">
      <alignment horizontal="left" vertical="top" wrapText="1"/>
    </xf>
    <xf numFmtId="171" fontId="29" fillId="0" borderId="0" xfId="45" applyNumberFormat="1" applyFont="1" applyAlignment="1">
      <alignment vertical="top"/>
    </xf>
    <xf numFmtId="1" fontId="29" fillId="24" borderId="10" xfId="45" applyNumberFormat="1" applyFont="1" applyFill="1" applyBorder="1" applyAlignment="1">
      <alignment horizontal="right" vertical="top"/>
    </xf>
    <xf numFmtId="0" fontId="58" fillId="0" borderId="0" xfId="45" applyFont="1" applyAlignment="1">
      <alignment vertical="top" wrapText="1"/>
    </xf>
    <xf numFmtId="167" fontId="29" fillId="24" borderId="18" xfId="45" applyNumberFormat="1" applyFont="1" applyFill="1" applyBorder="1" applyAlignment="1">
      <alignment horizontal="center" vertical="top"/>
    </xf>
    <xf numFmtId="165" fontId="29" fillId="24" borderId="38" xfId="45" applyNumberFormat="1" applyFont="1" applyFill="1" applyBorder="1" applyAlignment="1">
      <alignment horizontal="center" vertical="top"/>
    </xf>
    <xf numFmtId="165" fontId="29" fillId="24" borderId="46" xfId="45" applyNumberFormat="1" applyFont="1" applyFill="1" applyBorder="1" applyAlignment="1">
      <alignment horizontal="center" vertical="top"/>
    </xf>
    <xf numFmtId="1" fontId="29" fillId="24" borderId="15" xfId="45" applyNumberFormat="1" applyFont="1" applyFill="1" applyBorder="1" applyAlignment="1">
      <alignment horizontal="right" vertical="top"/>
    </xf>
    <xf numFmtId="2" fontId="30" fillId="0" borderId="10" xfId="45" applyNumberFormat="1" applyFont="1" applyBorder="1" applyAlignment="1">
      <alignment horizontal="right" vertical="top" wrapText="1"/>
    </xf>
    <xf numFmtId="9" fontId="29" fillId="0" borderId="15" xfId="45" applyNumberFormat="1" applyFont="1" applyBorder="1" applyAlignment="1">
      <alignment horizontal="center" vertical="top"/>
    </xf>
    <xf numFmtId="167" fontId="29" fillId="0" borderId="10" xfId="45" applyNumberFormat="1" applyFont="1" applyBorder="1" applyAlignment="1">
      <alignment horizontal="center" vertical="top"/>
    </xf>
    <xf numFmtId="165" fontId="30" fillId="0" borderId="19" xfId="55" applyNumberFormat="1" applyFont="1" applyFill="1" applyBorder="1" applyAlignment="1">
      <alignment horizontal="center" vertical="top"/>
    </xf>
    <xf numFmtId="0" fontId="29" fillId="24" borderId="0" xfId="45" applyFont="1" applyFill="1" applyAlignment="1">
      <alignment horizontal="center" vertical="top" wrapText="1"/>
    </xf>
    <xf numFmtId="1" fontId="29" fillId="30" borderId="26" xfId="45" applyNumberFormat="1" applyFont="1" applyFill="1" applyBorder="1" applyAlignment="1">
      <alignment horizontal="center" vertical="top"/>
    </xf>
    <xf numFmtId="9" fontId="29" fillId="0" borderId="27" xfId="45" applyNumberFormat="1" applyFont="1" applyBorder="1" applyAlignment="1">
      <alignment horizontal="center" vertical="top"/>
    </xf>
    <xf numFmtId="44" fontId="29" fillId="0" borderId="35" xfId="55" applyFont="1" applyFill="1" applyBorder="1" applyAlignment="1">
      <alignment horizontal="center" vertical="top"/>
    </xf>
    <xf numFmtId="166" fontId="30" fillId="0" borderId="0" xfId="45" applyNumberFormat="1" applyFont="1" applyAlignment="1">
      <alignment horizontal="center" vertical="top"/>
    </xf>
    <xf numFmtId="0" fontId="40" fillId="24" borderId="16" xfId="45" applyFont="1" applyFill="1" applyBorder="1" applyAlignment="1">
      <alignment horizontal="center" vertical="top" wrapText="1"/>
    </xf>
    <xf numFmtId="2" fontId="30" fillId="0" borderId="43" xfId="45" applyNumberFormat="1" applyFont="1" applyBorder="1" applyAlignment="1">
      <alignment horizontal="left" vertical="top" wrapText="1"/>
    </xf>
    <xf numFmtId="173" fontId="29" fillId="0" borderId="15" xfId="45" applyNumberFormat="1" applyFont="1" applyBorder="1" applyAlignment="1">
      <alignment horizontal="center" vertical="top"/>
    </xf>
    <xf numFmtId="2" fontId="29" fillId="0" borderId="10" xfId="45" applyNumberFormat="1" applyFont="1" applyBorder="1" applyAlignment="1">
      <alignment horizontal="left" vertical="top" wrapText="1"/>
    </xf>
    <xf numFmtId="2" fontId="29" fillId="0" borderId="49" xfId="45" applyNumberFormat="1" applyFont="1" applyBorder="1" applyAlignment="1">
      <alignment horizontal="left" vertical="top" wrapText="1"/>
    </xf>
    <xf numFmtId="1" fontId="29" fillId="0" borderId="50" xfId="45" applyNumberFormat="1" applyFont="1" applyBorder="1" applyAlignment="1">
      <alignment horizontal="center" vertical="top"/>
    </xf>
    <xf numFmtId="0" fontId="29" fillId="0" borderId="51" xfId="45" applyFont="1" applyBorder="1" applyAlignment="1">
      <alignment horizontal="center" vertical="top"/>
    </xf>
    <xf numFmtId="1" fontId="30" fillId="0" borderId="49" xfId="45" applyNumberFormat="1" applyFont="1" applyBorder="1" applyAlignment="1">
      <alignment horizontal="left" vertical="top"/>
    </xf>
    <xf numFmtId="0" fontId="29" fillId="0" borderId="49" xfId="45" applyFont="1" applyBorder="1" applyAlignment="1">
      <alignment horizontal="left" vertical="top" wrapText="1"/>
    </xf>
    <xf numFmtId="1" fontId="29" fillId="0" borderId="49" xfId="45" applyNumberFormat="1" applyFont="1" applyBorder="1" applyAlignment="1">
      <alignment horizontal="center" vertical="top"/>
    </xf>
    <xf numFmtId="41" fontId="29" fillId="0" borderId="49" xfId="45" applyNumberFormat="1" applyFont="1" applyBorder="1" applyAlignment="1">
      <alignment horizontal="right" vertical="top"/>
    </xf>
    <xf numFmtId="0" fontId="29" fillId="0" borderId="49" xfId="45" applyFont="1" applyBorder="1" applyAlignment="1">
      <alignment horizontal="center" vertical="top"/>
    </xf>
    <xf numFmtId="44" fontId="29" fillId="0" borderId="49" xfId="55" applyFont="1" applyFill="1" applyBorder="1" applyAlignment="1">
      <alignment horizontal="center" vertical="top"/>
    </xf>
    <xf numFmtId="164" fontId="29" fillId="0" borderId="52" xfId="45" applyNumberFormat="1" applyFont="1" applyBorder="1" applyAlignment="1">
      <alignment vertical="top"/>
    </xf>
    <xf numFmtId="0" fontId="34" fillId="24" borderId="22" xfId="45" applyFont="1" applyFill="1" applyBorder="1" applyAlignment="1">
      <alignment vertical="top"/>
    </xf>
    <xf numFmtId="0" fontId="39" fillId="0" borderId="12" xfId="45" applyFont="1" applyBorder="1" applyAlignment="1">
      <alignment horizontal="left" vertical="top"/>
    </xf>
    <xf numFmtId="0" fontId="29" fillId="0" borderId="0" xfId="45" applyFont="1" applyAlignment="1">
      <alignment horizontal="center" vertical="top"/>
    </xf>
    <xf numFmtId="2" fontId="29" fillId="0" borderId="0" xfId="45" applyNumberFormat="1" applyFont="1" applyAlignment="1">
      <alignment horizontal="left" vertical="top" wrapText="1"/>
    </xf>
    <xf numFmtId="1" fontId="29" fillId="0" borderId="0" xfId="45" applyNumberFormat="1" applyFont="1" applyAlignment="1">
      <alignment horizontal="center" vertical="top" wrapText="1"/>
    </xf>
    <xf numFmtId="2" fontId="29" fillId="0" borderId="0" xfId="45" applyNumberFormat="1" applyFont="1" applyAlignment="1">
      <alignment horizontal="center" vertical="top" wrapText="1"/>
    </xf>
    <xf numFmtId="44" fontId="29" fillId="0" borderId="0" xfId="55" applyFont="1" applyBorder="1" applyAlignment="1">
      <alignment horizontal="center" vertical="top"/>
    </xf>
    <xf numFmtId="164" fontId="29" fillId="0" borderId="0" xfId="45" applyNumberFormat="1" applyFont="1" applyAlignment="1">
      <alignment vertical="top"/>
    </xf>
    <xf numFmtId="0" fontId="39" fillId="0" borderId="13" xfId="45" applyFont="1" applyBorder="1" applyAlignment="1">
      <alignment horizontal="left" vertical="top"/>
    </xf>
    <xf numFmtId="0" fontId="29" fillId="0" borderId="14" xfId="45" applyFont="1" applyBorder="1" applyAlignment="1">
      <alignment horizontal="center" vertical="top"/>
    </xf>
    <xf numFmtId="2" fontId="29" fillId="0" borderId="14" xfId="45" applyNumberFormat="1" applyFont="1" applyBorder="1" applyAlignment="1">
      <alignment horizontal="left" vertical="top" wrapText="1"/>
    </xf>
    <xf numFmtId="1" fontId="29" fillId="0" borderId="14" xfId="45" applyNumberFormat="1" applyFont="1" applyBorder="1" applyAlignment="1">
      <alignment horizontal="center" vertical="top" wrapText="1"/>
    </xf>
    <xf numFmtId="2" fontId="29" fillId="0" borderId="14" xfId="45" applyNumberFormat="1" applyFont="1" applyBorder="1" applyAlignment="1">
      <alignment horizontal="center" vertical="top" wrapText="1"/>
    </xf>
    <xf numFmtId="44" fontId="29" fillId="0" borderId="14" xfId="55" applyFont="1" applyBorder="1" applyAlignment="1">
      <alignment horizontal="center" vertical="top"/>
    </xf>
    <xf numFmtId="164" fontId="29" fillId="0" borderId="14" xfId="45" applyNumberFormat="1" applyFont="1" applyBorder="1" applyAlignment="1">
      <alignment vertical="top"/>
    </xf>
    <xf numFmtId="0" fontId="29" fillId="0" borderId="12" xfId="45" applyFont="1" applyBorder="1" applyAlignment="1">
      <alignment horizontal="center" vertical="top"/>
    </xf>
    <xf numFmtId="2" fontId="30" fillId="0" borderId="16" xfId="0" applyNumberFormat="1" applyFont="1" applyFill="1" applyBorder="1" applyAlignment="1">
      <alignment horizontal="right" vertical="top" wrapText="1"/>
    </xf>
    <xf numFmtId="1" fontId="29" fillId="0" borderId="15" xfId="45" applyNumberFormat="1" applyFont="1" applyFill="1" applyBorder="1" applyAlignment="1">
      <alignment horizontal="center" vertical="top"/>
    </xf>
    <xf numFmtId="0" fontId="57" fillId="24" borderId="15" xfId="45" applyFont="1" applyFill="1" applyBorder="1" applyAlignment="1">
      <alignment horizontal="center" vertical="top" wrapText="1"/>
    </xf>
    <xf numFmtId="0" fontId="57" fillId="24" borderId="0" xfId="45" applyFont="1" applyFill="1" applyAlignment="1">
      <alignment horizontal="center" vertical="top" wrapText="1"/>
    </xf>
    <xf numFmtId="1" fontId="57" fillId="30" borderId="23" xfId="45" applyNumberFormat="1" applyFont="1" applyFill="1" applyBorder="1" applyAlignment="1">
      <alignment horizontal="center" vertical="top"/>
    </xf>
    <xf numFmtId="9" fontId="57" fillId="0" borderId="27" xfId="45" applyNumberFormat="1" applyFont="1" applyBorder="1" applyAlignment="1">
      <alignment horizontal="center" vertical="top"/>
    </xf>
    <xf numFmtId="41" fontId="57" fillId="0" borderId="35" xfId="45" applyNumberFormat="1" applyFont="1" applyBorder="1" applyAlignment="1">
      <alignment horizontal="center" vertical="top"/>
    </xf>
    <xf numFmtId="0" fontId="57" fillId="0" borderId="35" xfId="45" applyFont="1" applyBorder="1" applyAlignment="1">
      <alignment horizontal="center" vertical="top"/>
    </xf>
    <xf numFmtId="44" fontId="57" fillId="0" borderId="35" xfId="55" applyFont="1" applyFill="1" applyBorder="1" applyAlignment="1">
      <alignment horizontal="center" vertical="top"/>
    </xf>
    <xf numFmtId="166" fontId="52" fillId="0" borderId="0" xfId="45" applyNumberFormat="1" applyFont="1" applyAlignment="1">
      <alignment horizontal="center" vertical="top"/>
    </xf>
    <xf numFmtId="2" fontId="30" fillId="0" borderId="19" xfId="45" applyNumberFormat="1" applyFont="1" applyBorder="1" applyAlignment="1">
      <alignment horizontal="left" vertical="top" wrapText="1"/>
    </xf>
    <xf numFmtId="2" fontId="40" fillId="0" borderId="10" xfId="45" applyNumberFormat="1" applyFont="1" applyBorder="1" applyAlignment="1">
      <alignment horizontal="left" vertical="top" wrapText="1"/>
    </xf>
    <xf numFmtId="0" fontId="58" fillId="0" borderId="10" xfId="45" applyFont="1" applyBorder="1" applyAlignment="1">
      <alignment vertical="top" wrapText="1"/>
    </xf>
    <xf numFmtId="2" fontId="30" fillId="30" borderId="25" xfId="45" applyNumberFormat="1" applyFont="1" applyFill="1" applyBorder="1" applyAlignment="1">
      <alignment horizontal="left" vertical="top" wrapText="1"/>
    </xf>
    <xf numFmtId="2" fontId="30" fillId="0" borderId="48" xfId="45" applyNumberFormat="1" applyFont="1" applyBorder="1" applyAlignment="1">
      <alignment horizontal="left" vertical="top" wrapText="1"/>
    </xf>
    <xf numFmtId="173" fontId="29" fillId="24" borderId="10" xfId="45" applyNumberFormat="1" applyFont="1" applyFill="1" applyBorder="1" applyAlignment="1">
      <alignment horizontal="center" vertical="top" wrapText="1"/>
    </xf>
    <xf numFmtId="174" fontId="29" fillId="24" borderId="10" xfId="45" applyNumberFormat="1" applyFont="1" applyFill="1" applyBorder="1" applyAlignment="1">
      <alignment horizontal="center" vertical="top" wrapText="1"/>
    </xf>
    <xf numFmtId="170" fontId="30" fillId="24" borderId="10" xfId="45" applyNumberFormat="1" applyFont="1" applyFill="1" applyBorder="1" applyAlignment="1">
      <alignment horizontal="center" vertical="top" wrapText="1"/>
    </xf>
    <xf numFmtId="2" fontId="29" fillId="24" borderId="10" xfId="45" applyNumberFormat="1" applyFont="1" applyFill="1" applyBorder="1" applyAlignment="1">
      <alignment horizontal="center" vertical="top" wrapText="1"/>
    </xf>
    <xf numFmtId="2" fontId="30" fillId="24" borderId="48" xfId="45" applyNumberFormat="1" applyFont="1" applyFill="1" applyBorder="1" applyAlignment="1">
      <alignment horizontal="left" vertical="top" wrapText="1"/>
    </xf>
    <xf numFmtId="44" fontId="29" fillId="24" borderId="10" xfId="55" applyFont="1" applyFill="1" applyBorder="1" applyAlignment="1" applyProtection="1">
      <alignment horizontal="center" vertical="top"/>
    </xf>
    <xf numFmtId="165" fontId="29" fillId="24" borderId="16" xfId="45" applyNumberFormat="1" applyFont="1" applyFill="1" applyBorder="1" applyAlignment="1">
      <alignment horizontal="center" vertical="top"/>
    </xf>
    <xf numFmtId="2" fontId="29" fillId="0" borderId="15" xfId="45" applyNumberFormat="1" applyFont="1" applyBorder="1" applyAlignment="1">
      <alignment horizontal="center" vertical="top"/>
    </xf>
    <xf numFmtId="175" fontId="29" fillId="0" borderId="10" xfId="45" applyNumberFormat="1" applyFont="1" applyBorder="1" applyAlignment="1">
      <alignment horizontal="center" vertical="top"/>
    </xf>
    <xf numFmtId="2" fontId="30" fillId="30" borderId="13" xfId="45" applyNumberFormat="1" applyFont="1" applyFill="1" applyBorder="1" applyAlignment="1">
      <alignment horizontal="left" vertical="top" wrapText="1"/>
    </xf>
    <xf numFmtId="0" fontId="34" fillId="0" borderId="15" xfId="66" applyFont="1" applyBorder="1" applyAlignment="1">
      <alignment vertical="top"/>
    </xf>
    <xf numFmtId="0" fontId="34" fillId="0" borderId="15" xfId="66" applyFont="1" applyBorder="1" applyAlignment="1">
      <alignment horizontal="center" vertical="top"/>
    </xf>
    <xf numFmtId="0" fontId="51" fillId="0" borderId="19" xfId="66" applyFont="1" applyBorder="1" applyAlignment="1">
      <alignment vertical="top"/>
    </xf>
    <xf numFmtId="0" fontId="34" fillId="0" borderId="10" xfId="66" applyFont="1" applyBorder="1" applyAlignment="1">
      <alignment horizontal="center" vertical="top"/>
    </xf>
    <xf numFmtId="0" fontId="34" fillId="0" borderId="10" xfId="66" applyFont="1" applyBorder="1" applyAlignment="1">
      <alignment vertical="top"/>
    </xf>
    <xf numFmtId="44" fontId="29" fillId="27" borderId="10" xfId="67" applyFont="1" applyFill="1" applyBorder="1" applyAlignment="1">
      <alignment vertical="top"/>
    </xf>
    <xf numFmtId="44" fontId="34" fillId="27" borderId="10" xfId="66" applyNumberFormat="1" applyFont="1" applyFill="1" applyBorder="1" applyAlignment="1">
      <alignment vertical="top"/>
    </xf>
    <xf numFmtId="44" fontId="34" fillId="0" borderId="10" xfId="66" applyNumberFormat="1" applyFont="1" applyBorder="1" applyAlignment="1">
      <alignment vertical="top"/>
    </xf>
    <xf numFmtId="0" fontId="34" fillId="0" borderId="10" xfId="66" applyFont="1" applyBorder="1" applyAlignment="1">
      <alignment vertical="top" wrapText="1"/>
    </xf>
    <xf numFmtId="165" fontId="34" fillId="0" borderId="10" xfId="66" applyNumberFormat="1" applyFont="1" applyBorder="1" applyAlignment="1">
      <alignment vertical="top"/>
    </xf>
    <xf numFmtId="167" fontId="30" fillId="24" borderId="10" xfId="45" applyNumberFormat="1" applyFont="1" applyFill="1" applyBorder="1" applyAlignment="1">
      <alignment horizontal="center" vertical="top"/>
    </xf>
    <xf numFmtId="165" fontId="51" fillId="0" borderId="10" xfId="66" applyNumberFormat="1" applyFont="1" applyFill="1" applyBorder="1" applyAlignment="1">
      <alignment vertical="top"/>
    </xf>
    <xf numFmtId="0" fontId="34" fillId="0" borderId="0" xfId="66" applyFont="1" applyAlignment="1">
      <alignment vertical="top"/>
    </xf>
    <xf numFmtId="0" fontId="34" fillId="0" borderId="0" xfId="66" applyFont="1" applyAlignment="1">
      <alignment horizontal="center" vertical="top"/>
    </xf>
    <xf numFmtId="44" fontId="29" fillId="24" borderId="10" xfId="67" applyFont="1" applyFill="1" applyBorder="1" applyAlignment="1">
      <alignment vertical="top"/>
    </xf>
    <xf numFmtId="44" fontId="34" fillId="24" borderId="10" xfId="66" applyNumberFormat="1" applyFont="1" applyFill="1" applyBorder="1" applyAlignment="1">
      <alignment vertical="top"/>
    </xf>
    <xf numFmtId="0" fontId="51" fillId="0" borderId="10" xfId="66" applyFont="1" applyBorder="1" applyAlignment="1">
      <alignment vertical="top" wrapText="1"/>
    </xf>
    <xf numFmtId="165" fontId="29" fillId="0" borderId="41" xfId="55" applyNumberFormat="1" applyFont="1" applyFill="1" applyBorder="1" applyAlignment="1">
      <alignment horizontal="center" vertical="top"/>
    </xf>
    <xf numFmtId="166" fontId="29" fillId="32" borderId="15" xfId="45" applyNumberFormat="1" applyFont="1" applyFill="1" applyBorder="1" applyAlignment="1">
      <alignment horizontal="center" vertical="top"/>
    </xf>
    <xf numFmtId="166" fontId="30" fillId="0" borderId="37" xfId="0" applyNumberFormat="1" applyFont="1" applyFill="1" applyBorder="1" applyAlignment="1" applyProtection="1">
      <alignment horizontal="center" vertical="top"/>
    </xf>
    <xf numFmtId="167" fontId="29" fillId="24" borderId="10" xfId="0" applyNumberFormat="1" applyFont="1" applyFill="1" applyBorder="1" applyAlignment="1" applyProtection="1">
      <alignment horizontal="center" vertical="top"/>
    </xf>
    <xf numFmtId="165" fontId="29" fillId="24" borderId="30" xfId="0" applyNumberFormat="1" applyFont="1" applyFill="1" applyBorder="1" applyAlignment="1">
      <alignment horizontal="center" vertical="top"/>
    </xf>
    <xf numFmtId="2" fontId="40" fillId="0" borderId="10" xfId="0" applyNumberFormat="1" applyFont="1" applyFill="1" applyBorder="1" applyAlignment="1">
      <alignment horizontal="left" vertical="top" wrapText="1"/>
    </xf>
    <xf numFmtId="166" fontId="29" fillId="24" borderId="15" xfId="45" applyNumberFormat="1" applyFont="1" applyFill="1" applyBorder="1" applyAlignment="1">
      <alignment horizontal="center" vertical="top"/>
    </xf>
    <xf numFmtId="1" fontId="29" fillId="24" borderId="10" xfId="0" applyNumberFormat="1" applyFont="1" applyFill="1" applyBorder="1" applyAlignment="1" applyProtection="1">
      <alignment horizontal="right" vertical="top"/>
    </xf>
    <xf numFmtId="2" fontId="30" fillId="24" borderId="10" xfId="0" applyNumberFormat="1" applyFont="1" applyFill="1" applyBorder="1" applyAlignment="1">
      <alignment horizontal="right" vertical="top" wrapText="1"/>
    </xf>
    <xf numFmtId="165" fontId="29" fillId="24" borderId="16" xfId="55" applyNumberFormat="1" applyFont="1" applyFill="1" applyBorder="1" applyAlignment="1" applyProtection="1">
      <alignment horizontal="center" vertical="top"/>
    </xf>
    <xf numFmtId="14" fontId="31" fillId="29" borderId="11" xfId="0" applyNumberFormat="1" applyFont="1" applyFill="1" applyBorder="1" applyAlignment="1">
      <alignment vertical="top" wrapText="1"/>
    </xf>
    <xf numFmtId="14" fontId="29" fillId="24" borderId="0" xfId="0" applyNumberFormat="1" applyFont="1" applyFill="1" applyBorder="1" applyAlignment="1">
      <alignment horizontal="left" vertical="top" wrapText="1"/>
    </xf>
    <xf numFmtId="14" fontId="30" fillId="24" borderId="11" xfId="0" applyNumberFormat="1" applyFont="1" applyFill="1" applyBorder="1" applyAlignment="1">
      <alignment vertical="top" wrapText="1"/>
    </xf>
    <xf numFmtId="2" fontId="31" fillId="29" borderId="17" xfId="45" applyNumberFormat="1" applyFont="1" applyFill="1" applyBorder="1" applyAlignment="1">
      <alignment vertical="top"/>
    </xf>
    <xf numFmtId="165" fontId="30" fillId="24" borderId="0" xfId="55" applyNumberFormat="1" applyFont="1" applyFill="1" applyBorder="1" applyAlignment="1" applyProtection="1">
      <alignment horizontal="left" vertical="top"/>
    </xf>
    <xf numFmtId="2" fontId="31" fillId="29" borderId="25" xfId="45" applyNumberFormat="1" applyFont="1" applyFill="1" applyBorder="1" applyAlignment="1">
      <alignment horizontal="left" vertical="top"/>
    </xf>
    <xf numFmtId="2" fontId="30" fillId="24" borderId="12" xfId="45" applyNumberFormat="1" applyFont="1" applyFill="1" applyBorder="1" applyAlignment="1">
      <alignment horizontal="left" vertical="top"/>
    </xf>
    <xf numFmtId="0" fontId="29" fillId="24" borderId="12" xfId="45" applyFont="1" applyFill="1" applyBorder="1" applyAlignment="1">
      <alignment horizontal="left" vertical="top"/>
    </xf>
    <xf numFmtId="0" fontId="30" fillId="24" borderId="12" xfId="45" applyFont="1" applyFill="1" applyBorder="1" applyAlignment="1">
      <alignment horizontal="left" vertical="top"/>
    </xf>
    <xf numFmtId="0" fontId="31" fillId="29" borderId="25" xfId="45" applyFont="1" applyFill="1" applyBorder="1" applyAlignment="1">
      <alignment horizontal="center" vertical="top" wrapText="1"/>
    </xf>
    <xf numFmtId="1" fontId="31" fillId="29" borderId="17" xfId="45" applyNumberFormat="1" applyFont="1" applyFill="1" applyBorder="1" applyAlignment="1">
      <alignment horizontal="center" vertical="top" wrapText="1"/>
    </xf>
    <xf numFmtId="0" fontId="31" fillId="29" borderId="17" xfId="45" applyFont="1" applyFill="1" applyBorder="1" applyAlignment="1">
      <alignment horizontal="center" vertical="top" wrapText="1"/>
    </xf>
    <xf numFmtId="164" fontId="31" fillId="29" borderId="26" xfId="45" applyNumberFormat="1" applyFont="1" applyFill="1" applyBorder="1" applyAlignment="1">
      <alignment horizontal="center" vertical="top" wrapText="1"/>
    </xf>
    <xf numFmtId="14" fontId="59" fillId="24" borderId="22" xfId="45" applyNumberFormat="1" applyFont="1" applyFill="1" applyBorder="1" applyAlignment="1">
      <alignment horizontal="left" vertical="top"/>
    </xf>
    <xf numFmtId="169" fontId="43" fillId="24" borderId="14" xfId="45" applyNumberFormat="1" applyFont="1" applyFill="1" applyBorder="1" applyAlignment="1">
      <alignment vertical="top"/>
    </xf>
    <xf numFmtId="2" fontId="32" fillId="24" borderId="22" xfId="54" applyNumberFormat="1" applyFont="1" applyFill="1" applyBorder="1" applyAlignment="1">
      <alignment horizontal="center" vertical="top"/>
    </xf>
    <xf numFmtId="0" fontId="29" fillId="24" borderId="16" xfId="45" applyFont="1" applyFill="1" applyBorder="1" applyAlignment="1">
      <alignment horizontal="center" vertical="top"/>
    </xf>
    <xf numFmtId="0" fontId="30" fillId="26" borderId="25" xfId="45" applyFont="1" applyFill="1" applyBorder="1" applyAlignment="1">
      <alignment vertical="top"/>
    </xf>
    <xf numFmtId="0" fontId="30" fillId="26" borderId="11" xfId="45" applyFont="1" applyFill="1" applyBorder="1" applyAlignment="1">
      <alignment horizontal="center" vertical="center"/>
    </xf>
    <xf numFmtId="0" fontId="30" fillId="26" borderId="11" xfId="45" applyFont="1" applyFill="1" applyBorder="1" applyAlignment="1">
      <alignment horizontal="left" vertical="top"/>
    </xf>
    <xf numFmtId="1" fontId="29" fillId="26" borderId="11" xfId="45" applyNumberFormat="1" applyFont="1" applyFill="1" applyBorder="1" applyAlignment="1">
      <alignment horizontal="center" vertical="top"/>
    </xf>
    <xf numFmtId="0" fontId="29" fillId="26" borderId="17" xfId="45" applyFont="1" applyFill="1" applyBorder="1" applyAlignment="1">
      <alignment vertical="top"/>
    </xf>
    <xf numFmtId="44" fontId="29" fillId="26" borderId="17" xfId="55" applyFont="1" applyFill="1" applyBorder="1" applyAlignment="1">
      <alignment vertical="top"/>
    </xf>
    <xf numFmtId="0" fontId="29" fillId="26" borderId="26" xfId="45" applyFont="1" applyFill="1" applyBorder="1" applyAlignment="1">
      <alignment vertical="top"/>
    </xf>
    <xf numFmtId="166" fontId="30" fillId="24" borderId="22" xfId="45" applyNumberFormat="1" applyFont="1" applyFill="1" applyBorder="1" applyAlignment="1">
      <alignment horizontal="center" vertical="top"/>
    </xf>
    <xf numFmtId="0" fontId="34" fillId="25" borderId="0" xfId="45" applyFont="1" applyFill="1" applyAlignment="1">
      <alignment vertical="top"/>
    </xf>
    <xf numFmtId="0" fontId="29" fillId="30" borderId="25" xfId="45" applyFont="1" applyFill="1" applyBorder="1" applyAlignment="1">
      <alignment horizontal="center" vertical="top" wrapText="1"/>
    </xf>
    <xf numFmtId="2" fontId="30" fillId="30" borderId="17" xfId="45" applyNumberFormat="1" applyFont="1" applyFill="1" applyBorder="1" applyAlignment="1">
      <alignment horizontal="left" vertical="top" wrapText="1"/>
    </xf>
    <xf numFmtId="9" fontId="29" fillId="24" borderId="34" xfId="58" applyFont="1" applyFill="1" applyBorder="1" applyAlignment="1" applyProtection="1">
      <alignment horizontal="center" vertical="top"/>
    </xf>
    <xf numFmtId="0" fontId="29" fillId="0" borderId="16" xfId="45" applyFont="1" applyBorder="1" applyAlignment="1">
      <alignment horizontal="center" vertical="top"/>
    </xf>
    <xf numFmtId="172" fontId="30" fillId="24" borderId="10" xfId="45" applyNumberFormat="1" applyFont="1" applyFill="1" applyBorder="1" applyAlignment="1">
      <alignment horizontal="center" vertical="top" wrapText="1"/>
    </xf>
    <xf numFmtId="0" fontId="59" fillId="24" borderId="16" xfId="45" applyFont="1" applyFill="1" applyBorder="1" applyAlignment="1">
      <alignment horizontal="center" vertical="top" wrapText="1"/>
    </xf>
    <xf numFmtId="2" fontId="59" fillId="0" borderId="43" xfId="45" applyNumberFormat="1" applyFont="1" applyBorder="1" applyAlignment="1">
      <alignment horizontal="left" vertical="top" wrapText="1"/>
    </xf>
    <xf numFmtId="2" fontId="59" fillId="0" borderId="47" xfId="45" applyNumberFormat="1" applyFont="1" applyBorder="1" applyAlignment="1">
      <alignment horizontal="left" vertical="top" wrapText="1"/>
    </xf>
    <xf numFmtId="0" fontId="29" fillId="0" borderId="0" xfId="45" applyFont="1" applyBorder="1" applyAlignment="1">
      <alignment horizontal="center" vertical="top"/>
    </xf>
    <xf numFmtId="164" fontId="29" fillId="0" borderId="0" xfId="45" applyNumberFormat="1" applyFont="1" applyBorder="1" applyAlignment="1">
      <alignment vertical="top"/>
    </xf>
    <xf numFmtId="2" fontId="30" fillId="24" borderId="12" xfId="45" applyNumberFormat="1" applyFont="1" applyFill="1" applyBorder="1" applyAlignment="1">
      <alignment vertical="top"/>
    </xf>
    <xf numFmtId="2" fontId="30" fillId="24" borderId="0" xfId="45" applyNumberFormat="1" applyFont="1" applyFill="1" applyBorder="1" applyAlignment="1">
      <alignment vertical="top"/>
    </xf>
    <xf numFmtId="2" fontId="30" fillId="24" borderId="0" xfId="45" applyNumberFormat="1" applyFont="1" applyFill="1" applyBorder="1" applyAlignment="1">
      <alignment horizontal="right" vertical="top"/>
    </xf>
    <xf numFmtId="2" fontId="30" fillId="24" borderId="0" xfId="45" applyNumberFormat="1" applyFont="1" applyFill="1" applyBorder="1" applyAlignment="1">
      <alignment horizontal="center" vertical="top"/>
    </xf>
    <xf numFmtId="2" fontId="30" fillId="24" borderId="22" xfId="45" applyNumberFormat="1" applyFont="1" applyFill="1" applyBorder="1" applyAlignment="1">
      <alignment horizontal="right" vertical="top"/>
    </xf>
    <xf numFmtId="0" fontId="29" fillId="24" borderId="12" xfId="45" applyFont="1" applyFill="1" applyBorder="1" applyAlignment="1">
      <alignment vertical="top"/>
    </xf>
    <xf numFmtId="14" fontId="29" fillId="24" borderId="0" xfId="45" applyNumberFormat="1" applyFont="1" applyFill="1" applyBorder="1" applyAlignment="1">
      <alignment horizontal="left" vertical="top"/>
    </xf>
    <xf numFmtId="0" fontId="29" fillId="24" borderId="0" xfId="45" applyFont="1" applyFill="1" applyBorder="1" applyAlignment="1">
      <alignment horizontal="right" vertical="top"/>
    </xf>
    <xf numFmtId="2" fontId="29" fillId="24" borderId="0" xfId="45" applyNumberFormat="1" applyFont="1" applyFill="1" applyBorder="1" applyAlignment="1">
      <alignment vertical="top" wrapText="1"/>
    </xf>
    <xf numFmtId="0" fontId="40" fillId="24" borderId="0" xfId="45" applyFont="1" applyFill="1" applyBorder="1" applyAlignment="1">
      <alignment horizontal="left" vertical="top"/>
    </xf>
    <xf numFmtId="0" fontId="29" fillId="24" borderId="22" xfId="45" applyFont="1" applyFill="1" applyBorder="1" applyAlignment="1">
      <alignment horizontal="center" vertical="top"/>
    </xf>
    <xf numFmtId="0" fontId="29" fillId="0" borderId="53" xfId="45" applyFont="1" applyBorder="1" applyAlignment="1">
      <alignment horizontal="center" vertical="top"/>
    </xf>
    <xf numFmtId="0" fontId="29" fillId="35" borderId="17" xfId="45" applyFont="1" applyFill="1" applyBorder="1" applyAlignment="1">
      <alignment horizontal="right" vertical="top"/>
    </xf>
    <xf numFmtId="0" fontId="60" fillId="24" borderId="15" xfId="45" applyFont="1" applyFill="1" applyBorder="1" applyAlignment="1">
      <alignment horizontal="center" vertical="top" wrapText="1"/>
    </xf>
    <xf numFmtId="0" fontId="51" fillId="30" borderId="17" xfId="45" applyFont="1" applyFill="1" applyBorder="1" applyAlignment="1">
      <alignment horizontal="left" vertical="top" wrapText="1"/>
    </xf>
    <xf numFmtId="0" fontId="29" fillId="30" borderId="26" xfId="45" applyFont="1" applyFill="1" applyBorder="1" applyAlignment="1">
      <alignment horizontal="right" vertical="top" wrapText="1"/>
    </xf>
    <xf numFmtId="9" fontId="29" fillId="24" borderId="15" xfId="45" applyNumberFormat="1" applyFont="1" applyFill="1" applyBorder="1" applyAlignment="1">
      <alignment horizontal="right" vertical="top"/>
    </xf>
    <xf numFmtId="41" fontId="29" fillId="24" borderId="15" xfId="45" applyNumberFormat="1" applyFont="1" applyFill="1" applyBorder="1" applyAlignment="1">
      <alignment horizontal="right" vertical="top"/>
    </xf>
    <xf numFmtId="2" fontId="34" fillId="24" borderId="10" xfId="45" applyNumberFormat="1" applyFont="1" applyFill="1" applyBorder="1" applyAlignment="1">
      <alignment horizontal="right" vertical="top"/>
    </xf>
    <xf numFmtId="165" fontId="29" fillId="24" borderId="16" xfId="45" applyNumberFormat="1" applyFont="1" applyFill="1" applyBorder="1" applyAlignment="1">
      <alignment horizontal="right" vertical="top"/>
    </xf>
    <xf numFmtId="2" fontId="8" fillId="24" borderId="20" xfId="45" applyNumberFormat="1" applyFont="1" applyFill="1" applyBorder="1" applyAlignment="1">
      <alignment horizontal="right" vertical="top"/>
    </xf>
    <xf numFmtId="0" fontId="29" fillId="0" borderId="10" xfId="45" applyFont="1" applyBorder="1" applyAlignment="1">
      <alignment horizontal="center" vertical="top" wrapText="1"/>
    </xf>
    <xf numFmtId="0" fontId="61" fillId="24" borderId="15" xfId="45" applyFont="1" applyFill="1" applyBorder="1" applyAlignment="1">
      <alignment horizontal="center" vertical="top" wrapText="1"/>
    </xf>
    <xf numFmtId="1" fontId="29" fillId="24" borderId="16" xfId="45" applyNumberFormat="1" applyFont="1" applyFill="1" applyBorder="1" applyAlignment="1">
      <alignment horizontal="right" vertical="top"/>
    </xf>
    <xf numFmtId="0" fontId="51" fillId="0" borderId="15" xfId="45" applyFont="1" applyBorder="1" applyAlignment="1">
      <alignment horizontal="left" vertical="top" wrapText="1"/>
    </xf>
    <xf numFmtId="41" fontId="29" fillId="0" borderId="48" xfId="45" applyNumberFormat="1" applyFont="1" applyBorder="1" applyAlignment="1">
      <alignment horizontal="right" vertical="top"/>
    </xf>
    <xf numFmtId="0" fontId="29" fillId="24" borderId="28" xfId="45" applyFont="1" applyFill="1" applyBorder="1" applyAlignment="1">
      <alignment horizontal="left" vertical="top" wrapText="1"/>
    </xf>
    <xf numFmtId="41" fontId="29" fillId="0" borderId="16" xfId="45" applyNumberFormat="1" applyFont="1" applyBorder="1" applyAlignment="1">
      <alignment horizontal="right" vertical="top"/>
    </xf>
    <xf numFmtId="41" fontId="29" fillId="24" borderId="10" xfId="45" applyNumberFormat="1" applyFont="1" applyFill="1" applyBorder="1" applyAlignment="1">
      <alignment horizontal="right" vertical="top"/>
    </xf>
    <xf numFmtId="0" fontId="61" fillId="24" borderId="28" xfId="45" applyFont="1" applyFill="1" applyBorder="1" applyAlignment="1">
      <alignment horizontal="left" vertical="top" wrapText="1"/>
    </xf>
    <xf numFmtId="41" fontId="29" fillId="24" borderId="28" xfId="45" applyNumberFormat="1" applyFont="1" applyFill="1" applyBorder="1" applyAlignment="1">
      <alignment horizontal="right" vertical="top"/>
    </xf>
    <xf numFmtId="2" fontId="62" fillId="0" borderId="10" xfId="45" applyNumberFormat="1" applyFont="1" applyBorder="1" applyAlignment="1">
      <alignment horizontal="center" vertical="top" wrapText="1"/>
    </xf>
    <xf numFmtId="0" fontId="62" fillId="0" borderId="50" xfId="45" applyFont="1" applyBorder="1" applyAlignment="1">
      <alignment horizontal="center" vertical="top" wrapText="1"/>
    </xf>
    <xf numFmtId="2" fontId="62" fillId="0" borderId="15" xfId="45" applyNumberFormat="1" applyFont="1" applyBorder="1" applyAlignment="1">
      <alignment horizontal="left" vertical="top" wrapText="1"/>
    </xf>
    <xf numFmtId="41" fontId="62" fillId="0" borderId="54" xfId="45" applyNumberFormat="1" applyFont="1" applyBorder="1" applyAlignment="1">
      <alignment horizontal="right" vertical="top"/>
    </xf>
    <xf numFmtId="0" fontId="40" fillId="24" borderId="10" xfId="45" applyFont="1" applyFill="1" applyBorder="1" applyAlignment="1">
      <alignment horizontal="left" vertical="top"/>
    </xf>
    <xf numFmtId="175" fontId="29" fillId="0" borderId="55" xfId="45" applyNumberFormat="1" applyFont="1" applyBorder="1" applyAlignment="1">
      <alignment horizontal="right" vertical="top"/>
    </xf>
    <xf numFmtId="0" fontId="29" fillId="24" borderId="56" xfId="45" applyFont="1" applyFill="1" applyBorder="1" applyAlignment="1">
      <alignment horizontal="center" vertical="top"/>
    </xf>
    <xf numFmtId="0" fontId="30" fillId="24" borderId="28" xfId="45" applyFont="1" applyFill="1" applyBorder="1" applyAlignment="1">
      <alignment horizontal="right" vertical="top" wrapText="1"/>
    </xf>
    <xf numFmtId="0" fontId="29" fillId="24" borderId="49" xfId="45" applyFont="1" applyFill="1" applyBorder="1" applyAlignment="1">
      <alignment horizontal="center" vertical="top"/>
    </xf>
    <xf numFmtId="0" fontId="60" fillId="24" borderId="35" xfId="45" applyFont="1" applyFill="1" applyBorder="1" applyAlignment="1">
      <alignment horizontal="center" vertical="top" wrapText="1"/>
    </xf>
    <xf numFmtId="1" fontId="29" fillId="24" borderId="35" xfId="45" applyNumberFormat="1" applyFont="1" applyFill="1" applyBorder="1" applyAlignment="1">
      <alignment horizontal="right" vertical="top"/>
    </xf>
    <xf numFmtId="0" fontId="61" fillId="24" borderId="57" xfId="45" applyFont="1" applyFill="1" applyBorder="1" applyAlignment="1">
      <alignment horizontal="left" vertical="top" wrapText="1"/>
    </xf>
    <xf numFmtId="41" fontId="29" fillId="24" borderId="57" xfId="45" applyNumberFormat="1" applyFont="1" applyFill="1" applyBorder="1" applyAlignment="1">
      <alignment horizontal="right" vertical="top"/>
    </xf>
    <xf numFmtId="0" fontId="29" fillId="24" borderId="28" xfId="45" applyFont="1" applyFill="1" applyBorder="1" applyAlignment="1">
      <alignment horizontal="center" vertical="top"/>
    </xf>
    <xf numFmtId="2" fontId="34" fillId="24" borderId="15" xfId="45" applyNumberFormat="1" applyFont="1" applyFill="1" applyBorder="1" applyAlignment="1">
      <alignment horizontal="right" vertical="top"/>
    </xf>
    <xf numFmtId="165" fontId="29" fillId="24" borderId="28" xfId="45" applyNumberFormat="1" applyFont="1" applyFill="1" applyBorder="1" applyAlignment="1">
      <alignment horizontal="right" vertical="top"/>
    </xf>
    <xf numFmtId="0" fontId="30" fillId="24" borderId="28" xfId="45" applyFont="1" applyFill="1" applyBorder="1" applyAlignment="1">
      <alignment horizontal="left" vertical="top" wrapText="1"/>
    </xf>
    <xf numFmtId="1" fontId="31" fillId="0" borderId="34" xfId="45" applyNumberFormat="1" applyFont="1" applyBorder="1" applyAlignment="1">
      <alignment horizontal="center" vertical="top" wrapText="1"/>
    </xf>
    <xf numFmtId="2" fontId="62" fillId="24" borderId="10" xfId="45" applyNumberFormat="1" applyFont="1" applyFill="1" applyBorder="1" applyAlignment="1">
      <alignment horizontal="left" vertical="top" wrapText="1"/>
    </xf>
    <xf numFmtId="41" fontId="62" fillId="0" borderId="59" xfId="45" applyNumberFormat="1" applyFont="1" applyBorder="1" applyAlignment="1">
      <alignment horizontal="right" vertical="top"/>
    </xf>
    <xf numFmtId="0" fontId="62" fillId="0" borderId="10" xfId="45" applyFont="1" applyBorder="1" applyAlignment="1">
      <alignment horizontal="center" vertical="top"/>
    </xf>
    <xf numFmtId="2" fontId="62" fillId="24" borderId="10" xfId="45" applyNumberFormat="1" applyFont="1" applyFill="1" applyBorder="1" applyAlignment="1">
      <alignment horizontal="center" vertical="top" wrapText="1"/>
    </xf>
    <xf numFmtId="2" fontId="29" fillId="0" borderId="10" xfId="45" applyNumberFormat="1" applyFont="1" applyBorder="1" applyAlignment="1">
      <alignment horizontal="center" vertical="top"/>
    </xf>
    <xf numFmtId="41" fontId="29" fillId="0" borderId="60" xfId="45" applyNumberFormat="1" applyFont="1" applyBorder="1" applyAlignment="1">
      <alignment horizontal="right" vertical="top"/>
    </xf>
    <xf numFmtId="41" fontId="29" fillId="0" borderId="61" xfId="45" applyNumberFormat="1" applyFont="1" applyBorder="1" applyAlignment="1">
      <alignment horizontal="right" vertical="top"/>
    </xf>
    <xf numFmtId="41" fontId="29" fillId="24" borderId="16" xfId="45" applyNumberFormat="1" applyFont="1" applyFill="1" applyBorder="1" applyAlignment="1">
      <alignment horizontal="right" vertical="top"/>
    </xf>
    <xf numFmtId="0" fontId="51" fillId="0" borderId="19" xfId="45" applyFont="1" applyBorder="1" applyAlignment="1">
      <alignment horizontal="left" vertical="top" wrapText="1"/>
    </xf>
    <xf numFmtId="0" fontId="29" fillId="0" borderId="50" xfId="45" applyFont="1" applyBorder="1" applyAlignment="1">
      <alignment horizontal="center" vertical="top" wrapText="1"/>
    </xf>
    <xf numFmtId="0" fontId="29" fillId="24" borderId="50" xfId="45" applyFont="1" applyFill="1" applyBorder="1" applyAlignment="1">
      <alignment horizontal="center" vertical="top" wrapText="1"/>
    </xf>
    <xf numFmtId="41" fontId="62" fillId="0" borderId="16" xfId="45" applyNumberFormat="1" applyFont="1" applyBorder="1" applyAlignment="1">
      <alignment horizontal="right" vertical="top"/>
    </xf>
    <xf numFmtId="1" fontId="29" fillId="24" borderId="28" xfId="45" applyNumberFormat="1" applyFont="1" applyFill="1" applyBorder="1" applyAlignment="1">
      <alignment horizontal="right" vertical="top"/>
    </xf>
    <xf numFmtId="41" fontId="29" fillId="0" borderId="43" xfId="45" applyNumberFormat="1" applyFont="1" applyBorder="1" applyAlignment="1">
      <alignment horizontal="right" vertical="top"/>
    </xf>
    <xf numFmtId="41" fontId="62" fillId="24" borderId="62" xfId="45" applyNumberFormat="1" applyFont="1" applyFill="1" applyBorder="1" applyAlignment="1">
      <alignment horizontal="right" vertical="top"/>
    </xf>
    <xf numFmtId="41" fontId="62" fillId="0" borderId="10" xfId="45" applyNumberFormat="1" applyFont="1" applyBorder="1" applyAlignment="1">
      <alignment horizontal="right" vertical="top"/>
    </xf>
    <xf numFmtId="0" fontId="29" fillId="0" borderId="49" xfId="45" applyFont="1" applyBorder="1" applyAlignment="1">
      <alignment horizontal="center" vertical="top" wrapText="1"/>
    </xf>
    <xf numFmtId="0" fontId="29" fillId="24" borderId="35" xfId="45" applyFont="1" applyFill="1" applyBorder="1" applyAlignment="1">
      <alignment horizontal="center" vertical="top"/>
    </xf>
    <xf numFmtId="2" fontId="62" fillId="0" borderId="15" xfId="45" applyNumberFormat="1" applyFont="1" applyBorder="1" applyAlignment="1">
      <alignment horizontal="right" vertical="top" wrapText="1"/>
    </xf>
    <xf numFmtId="41" fontId="62" fillId="0" borderId="49" xfId="45" applyNumberFormat="1" applyFont="1" applyBorder="1" applyAlignment="1">
      <alignment horizontal="right" vertical="top"/>
    </xf>
    <xf numFmtId="0" fontId="60" fillId="24" borderId="10" xfId="45" applyFont="1" applyFill="1" applyBorder="1" applyAlignment="1">
      <alignment horizontal="center" vertical="top" wrapText="1"/>
    </xf>
    <xf numFmtId="0" fontId="61" fillId="24" borderId="16" xfId="45" applyFont="1" applyFill="1" applyBorder="1" applyAlignment="1">
      <alignment horizontal="left" vertical="top" wrapText="1"/>
    </xf>
    <xf numFmtId="0" fontId="29" fillId="0" borderId="63" xfId="45" applyFont="1" applyBorder="1" applyAlignment="1">
      <alignment horizontal="center" vertical="top"/>
    </xf>
    <xf numFmtId="0" fontId="30" fillId="24" borderId="57" xfId="45" applyFont="1" applyFill="1" applyBorder="1" applyAlignment="1">
      <alignment horizontal="right" vertical="top" wrapText="1"/>
    </xf>
    <xf numFmtId="1" fontId="31" fillId="29" borderId="32" xfId="68" applyNumberFormat="1" applyFont="1" applyFill="1" applyBorder="1" applyAlignment="1">
      <alignment horizontal="left" vertical="top"/>
    </xf>
    <xf numFmtId="1" fontId="31" fillId="29" borderId="11" xfId="68" applyNumberFormat="1" applyFont="1" applyFill="1" applyBorder="1" applyAlignment="1">
      <alignment horizontal="left" vertical="top" wrapText="1"/>
    </xf>
    <xf numFmtId="1" fontId="31" fillId="29" borderId="11" xfId="68" applyNumberFormat="1" applyFont="1" applyFill="1" applyBorder="1" applyAlignment="1">
      <alignment horizontal="left" vertical="top"/>
    </xf>
    <xf numFmtId="0" fontId="33" fillId="29" borderId="11" xfId="68" applyFont="1" applyFill="1" applyBorder="1" applyAlignment="1">
      <alignment horizontal="left" vertical="top" wrapText="1"/>
    </xf>
    <xf numFmtId="1" fontId="33" fillId="29" borderId="11" xfId="68" applyNumberFormat="1" applyFont="1" applyFill="1" applyBorder="1" applyAlignment="1">
      <alignment horizontal="center" vertical="top"/>
    </xf>
    <xf numFmtId="41" fontId="33" fillId="29" borderId="11" xfId="68" applyNumberFormat="1" applyFont="1" applyFill="1" applyBorder="1" applyAlignment="1">
      <alignment horizontal="right" vertical="top"/>
    </xf>
    <xf numFmtId="0" fontId="33" fillId="29" borderId="11" xfId="68" applyFont="1" applyFill="1" applyBorder="1" applyAlignment="1">
      <alignment horizontal="center" vertical="top"/>
    </xf>
    <xf numFmtId="44" fontId="33" fillId="29" borderId="11" xfId="55" applyNumberFormat="1" applyFont="1" applyFill="1" applyBorder="1" applyAlignment="1">
      <alignment horizontal="center" vertical="top"/>
    </xf>
    <xf numFmtId="165" fontId="31" fillId="29" borderId="11" xfId="68" applyNumberFormat="1" applyFont="1" applyFill="1" applyBorder="1" applyAlignment="1">
      <alignment horizontal="left" vertical="top"/>
    </xf>
    <xf numFmtId="0" fontId="29" fillId="0" borderId="0" xfId="68" applyFont="1" applyBorder="1" applyAlignment="1">
      <alignment vertical="top"/>
    </xf>
    <xf numFmtId="1" fontId="51" fillId="31" borderId="25" xfId="68" applyNumberFormat="1" applyFont="1" applyFill="1" applyBorder="1" applyAlignment="1">
      <alignment horizontal="left" vertical="top"/>
    </xf>
    <xf numFmtId="1" fontId="51" fillId="31" borderId="17" xfId="68" applyNumberFormat="1" applyFont="1" applyFill="1" applyBorder="1" applyAlignment="1">
      <alignment horizontal="left" vertical="top" wrapText="1"/>
    </xf>
    <xf numFmtId="1" fontId="51" fillId="31" borderId="17" xfId="68" applyNumberFormat="1" applyFont="1" applyFill="1" applyBorder="1" applyAlignment="1">
      <alignment horizontal="left" vertical="top"/>
    </xf>
    <xf numFmtId="0" fontId="34" fillId="31" borderId="17" xfId="68" applyFont="1" applyFill="1" applyBorder="1" applyAlignment="1">
      <alignment horizontal="left" vertical="top" wrapText="1"/>
    </xf>
    <xf numFmtId="1" fontId="34" fillId="31" borderId="17" xfId="68" applyNumberFormat="1" applyFont="1" applyFill="1" applyBorder="1" applyAlignment="1">
      <alignment horizontal="center" vertical="top"/>
    </xf>
    <xf numFmtId="41" fontId="34" fillId="31" borderId="17" xfId="68" applyNumberFormat="1" applyFont="1" applyFill="1" applyBorder="1" applyAlignment="1">
      <alignment horizontal="right" vertical="top"/>
    </xf>
    <xf numFmtId="0" fontId="34" fillId="31" borderId="17" xfId="68" applyFont="1" applyFill="1" applyBorder="1" applyAlignment="1">
      <alignment horizontal="center" vertical="top"/>
    </xf>
    <xf numFmtId="9" fontId="51" fillId="28" borderId="19" xfId="69" applyFont="1" applyFill="1" applyBorder="1" applyAlignment="1">
      <alignment horizontal="center" vertical="top"/>
    </xf>
    <xf numFmtId="165" fontId="51" fillId="31" borderId="17" xfId="68" applyNumberFormat="1" applyFont="1" applyFill="1" applyBorder="1" applyAlignment="1">
      <alignment horizontal="left" vertical="top"/>
    </xf>
    <xf numFmtId="166" fontId="51" fillId="31" borderId="26" xfId="68" applyNumberFormat="1" applyFont="1" applyFill="1" applyBorder="1" applyAlignment="1" applyProtection="1">
      <alignment horizontal="center" vertical="top"/>
    </xf>
    <xf numFmtId="1" fontId="31" fillId="29" borderId="13" xfId="68" applyNumberFormat="1" applyFont="1" applyFill="1" applyBorder="1" applyAlignment="1">
      <alignment horizontal="left" vertical="top"/>
    </xf>
    <xf numFmtId="0" fontId="33" fillId="29" borderId="14" xfId="68" applyFont="1" applyFill="1" applyBorder="1" applyAlignment="1">
      <alignment horizontal="center" vertical="top" wrapText="1"/>
    </xf>
    <xf numFmtId="0" fontId="33" fillId="29" borderId="14" xfId="68" applyFont="1" applyFill="1" applyBorder="1" applyAlignment="1">
      <alignment horizontal="center" vertical="top"/>
    </xf>
    <xf numFmtId="2" fontId="33" fillId="29" borderId="14" xfId="68" applyNumberFormat="1" applyFont="1" applyFill="1" applyBorder="1" applyAlignment="1">
      <alignment horizontal="left" vertical="top" wrapText="1"/>
    </xf>
    <xf numFmtId="1" fontId="33" fillId="29" borderId="14" xfId="68" applyNumberFormat="1" applyFont="1" applyFill="1" applyBorder="1" applyAlignment="1">
      <alignment horizontal="center" vertical="top"/>
    </xf>
    <xf numFmtId="2" fontId="33" fillId="29" borderId="14" xfId="68" applyNumberFormat="1" applyFont="1" applyFill="1" applyBorder="1" applyAlignment="1">
      <alignment horizontal="center" vertical="top" wrapText="1"/>
    </xf>
    <xf numFmtId="44" fontId="33" fillId="29" borderId="14" xfId="55" applyNumberFormat="1" applyFont="1" applyFill="1" applyBorder="1" applyAlignment="1">
      <alignment horizontal="center" vertical="top"/>
    </xf>
    <xf numFmtId="165" fontId="31" fillId="29" borderId="14" xfId="68" applyNumberFormat="1" applyFont="1" applyFill="1" applyBorder="1" applyAlignment="1">
      <alignment horizontal="left" vertical="top"/>
    </xf>
    <xf numFmtId="165" fontId="31" fillId="29" borderId="23" xfId="68" applyNumberFormat="1" applyFont="1" applyFill="1" applyBorder="1" applyAlignment="1">
      <alignment horizontal="left" vertical="top"/>
    </xf>
    <xf numFmtId="1" fontId="64" fillId="24" borderId="13" xfId="45" applyNumberFormat="1" applyFont="1" applyFill="1" applyBorder="1" applyAlignment="1">
      <alignment vertical="top"/>
    </xf>
    <xf numFmtId="0" fontId="29" fillId="24" borderId="14" xfId="45" applyFont="1" applyFill="1" applyBorder="1" applyAlignment="1">
      <alignment vertical="top"/>
    </xf>
    <xf numFmtId="0" fontId="58" fillId="24" borderId="14" xfId="45" applyFont="1" applyFill="1" applyBorder="1" applyAlignment="1">
      <alignment horizontal="left" vertical="top"/>
    </xf>
    <xf numFmtId="2" fontId="29" fillId="0" borderId="14" xfId="45" applyNumberFormat="1" applyFont="1" applyBorder="1" applyAlignment="1">
      <alignment vertical="top" wrapText="1"/>
    </xf>
    <xf numFmtId="0" fontId="30" fillId="24" borderId="14" xfId="45" applyFont="1" applyFill="1" applyBorder="1" applyAlignment="1">
      <alignment horizontal="right" vertical="top"/>
    </xf>
    <xf numFmtId="0" fontId="30" fillId="24" borderId="14" xfId="45" applyFont="1" applyFill="1" applyBorder="1" applyAlignment="1">
      <alignment horizontal="center" vertical="top"/>
    </xf>
    <xf numFmtId="0" fontId="29" fillId="0" borderId="0" xfId="45" applyFont="1" applyAlignment="1">
      <alignment horizontal="right" vertical="top"/>
    </xf>
    <xf numFmtId="2" fontId="29" fillId="0" borderId="0" xfId="45" applyNumberFormat="1" applyFont="1" applyAlignment="1">
      <alignment vertical="top" wrapText="1"/>
    </xf>
    <xf numFmtId="2" fontId="29" fillId="0" borderId="0" xfId="45" applyNumberFormat="1" applyFont="1" applyAlignment="1">
      <alignment horizontal="right" vertical="top" wrapText="1"/>
    </xf>
    <xf numFmtId="44" fontId="33" fillId="29" borderId="33" xfId="56" applyNumberFormat="1" applyFont="1" applyFill="1" applyBorder="1" applyAlignment="1">
      <alignment horizontal="center" vertical="top"/>
    </xf>
    <xf numFmtId="0" fontId="34" fillId="0" borderId="64" xfId="66" applyFont="1" applyBorder="1"/>
    <xf numFmtId="0" fontId="30" fillId="24" borderId="0" xfId="45" applyFont="1" applyFill="1" applyBorder="1" applyAlignment="1">
      <alignment horizontal="left" vertical="top"/>
    </xf>
    <xf numFmtId="14" fontId="43" fillId="24" borderId="0" xfId="45" applyNumberFormat="1" applyFont="1" applyFill="1" applyBorder="1" applyAlignment="1">
      <alignment horizontal="left" vertical="top"/>
    </xf>
    <xf numFmtId="2" fontId="42" fillId="24" borderId="0" xfId="45" applyNumberFormat="1" applyFont="1" applyFill="1" applyBorder="1" applyAlignment="1">
      <alignment vertical="top"/>
    </xf>
    <xf numFmtId="0" fontId="43" fillId="24" borderId="0" xfId="45" applyFont="1" applyFill="1" applyBorder="1" applyAlignment="1">
      <alignment vertical="top"/>
    </xf>
    <xf numFmtId="0" fontId="43" fillId="0" borderId="0" xfId="45" applyFont="1" applyBorder="1" applyAlignment="1">
      <alignment vertical="top"/>
    </xf>
    <xf numFmtId="0" fontId="29" fillId="0" borderId="0" xfId="45" applyFont="1" applyBorder="1" applyAlignment="1">
      <alignment vertical="top"/>
    </xf>
    <xf numFmtId="44" fontId="43" fillId="24" borderId="0" xfId="45" applyNumberFormat="1" applyFont="1" applyFill="1" applyBorder="1" applyAlignment="1">
      <alignment vertical="top"/>
    </xf>
    <xf numFmtId="0" fontId="39" fillId="0" borderId="0" xfId="45" applyFont="1" applyBorder="1" applyAlignment="1">
      <alignment vertical="top" wrapText="1"/>
    </xf>
    <xf numFmtId="0" fontId="29" fillId="24" borderId="0" xfId="45" applyFont="1" applyFill="1" applyBorder="1" applyAlignment="1">
      <alignment horizontal="center" vertical="top" wrapText="1"/>
    </xf>
    <xf numFmtId="166" fontId="30" fillId="0" borderId="0" xfId="45" applyNumberFormat="1" applyFont="1" applyBorder="1" applyAlignment="1">
      <alignment horizontal="center" vertical="top"/>
    </xf>
    <xf numFmtId="165" fontId="31" fillId="29" borderId="33" xfId="0" applyNumberFormat="1" applyFont="1" applyFill="1" applyBorder="1" applyAlignment="1">
      <alignment horizontal="left" vertical="top"/>
    </xf>
    <xf numFmtId="2" fontId="29" fillId="0" borderId="0" xfId="45" applyNumberFormat="1" applyFont="1" applyBorder="1" applyAlignment="1">
      <alignment horizontal="left" vertical="top" wrapText="1"/>
    </xf>
    <xf numFmtId="1" fontId="29" fillId="0" borderId="0" xfId="45" applyNumberFormat="1" applyFont="1" applyBorder="1" applyAlignment="1">
      <alignment horizontal="center" vertical="top" wrapText="1"/>
    </xf>
    <xf numFmtId="2" fontId="29" fillId="0" borderId="0" xfId="45" applyNumberFormat="1" applyFont="1" applyBorder="1" applyAlignment="1">
      <alignment horizontal="center" vertical="top" wrapText="1"/>
    </xf>
    <xf numFmtId="2" fontId="31" fillId="29" borderId="25" xfId="45" applyNumberFormat="1" applyFont="1" applyFill="1" applyBorder="1" applyAlignment="1">
      <alignment vertical="top"/>
    </xf>
    <xf numFmtId="0" fontId="33" fillId="29" borderId="26" xfId="45" applyFont="1" applyFill="1" applyBorder="1" applyAlignment="1">
      <alignment vertical="top"/>
    </xf>
    <xf numFmtId="0" fontId="33" fillId="29" borderId="17" xfId="45" applyFont="1" applyFill="1" applyBorder="1" applyAlignment="1">
      <alignment vertical="top"/>
    </xf>
    <xf numFmtId="0" fontId="36" fillId="29" borderId="17" xfId="45" applyFont="1" applyFill="1" applyBorder="1" applyAlignment="1">
      <alignment vertical="top" wrapText="1"/>
    </xf>
    <xf numFmtId="0" fontId="33" fillId="29" borderId="17" xfId="45" applyFont="1" applyFill="1" applyBorder="1" applyAlignment="1">
      <alignment horizontal="right" vertical="top"/>
    </xf>
    <xf numFmtId="0" fontId="33" fillId="29" borderId="26" xfId="45" applyFont="1" applyFill="1" applyBorder="1" applyAlignment="1">
      <alignment horizontal="right" vertical="top"/>
    </xf>
    <xf numFmtId="0" fontId="34" fillId="0" borderId="0" xfId="68" applyFont="1"/>
    <xf numFmtId="2" fontId="40" fillId="24" borderId="0" xfId="45" applyNumberFormat="1" applyFont="1" applyFill="1" applyBorder="1" applyAlignment="1">
      <alignment vertical="top"/>
    </xf>
    <xf numFmtId="2" fontId="31" fillId="29" borderId="17" xfId="45" applyNumberFormat="1" applyFont="1" applyFill="1" applyBorder="1" applyAlignment="1">
      <alignment horizontal="center" vertical="top" wrapText="1"/>
    </xf>
    <xf numFmtId="2" fontId="31" fillId="29" borderId="26" xfId="45" applyNumberFormat="1" applyFont="1" applyFill="1" applyBorder="1" applyAlignment="1">
      <alignment horizontal="center" vertical="top" wrapText="1"/>
    </xf>
    <xf numFmtId="0" fontId="30" fillId="35" borderId="25" xfId="45" applyFont="1" applyFill="1" applyBorder="1" applyAlignment="1">
      <alignment horizontal="right" vertical="top"/>
    </xf>
    <xf numFmtId="0" fontId="30" fillId="35" borderId="17" xfId="45" applyFont="1" applyFill="1" applyBorder="1" applyAlignment="1">
      <alignment horizontal="right" vertical="top"/>
    </xf>
    <xf numFmtId="0" fontId="30" fillId="35" borderId="17" xfId="45" applyFont="1" applyFill="1" applyBorder="1" applyAlignment="1">
      <alignment vertical="top"/>
    </xf>
    <xf numFmtId="0" fontId="30" fillId="35" borderId="14" xfId="45" applyFont="1" applyFill="1" applyBorder="1" applyAlignment="1">
      <alignment horizontal="center" vertical="top"/>
    </xf>
    <xf numFmtId="2" fontId="30" fillId="35" borderId="17" xfId="45" applyNumberFormat="1" applyFont="1" applyFill="1" applyBorder="1" applyAlignment="1">
      <alignment horizontal="right" vertical="top"/>
    </xf>
    <xf numFmtId="0" fontId="30" fillId="35" borderId="26" xfId="45" applyFont="1" applyFill="1" applyBorder="1" applyAlignment="1">
      <alignment horizontal="right" vertical="top"/>
    </xf>
    <xf numFmtId="0" fontId="9" fillId="0" borderId="0" xfId="45" applyFont="1"/>
    <xf numFmtId="0" fontId="34" fillId="0" borderId="10" xfId="68" applyFont="1" applyBorder="1" applyAlignment="1">
      <alignment horizontal="right" vertical="top"/>
    </xf>
    <xf numFmtId="0" fontId="34" fillId="0" borderId="16" xfId="68" applyFont="1" applyBorder="1" applyAlignment="1">
      <alignment horizontal="right" vertical="top"/>
    </xf>
    <xf numFmtId="0" fontId="34" fillId="24" borderId="20" xfId="68" applyFont="1" applyFill="1" applyBorder="1" applyAlignment="1">
      <alignment horizontal="right" vertical="top"/>
    </xf>
    <xf numFmtId="9" fontId="9" fillId="0" borderId="10" xfId="69" applyFont="1" applyBorder="1" applyAlignment="1">
      <alignment horizontal="right" vertical="top"/>
    </xf>
    <xf numFmtId="1" fontId="34" fillId="0" borderId="10" xfId="68" applyNumberFormat="1" applyFont="1" applyBorder="1" applyAlignment="1">
      <alignment horizontal="right" vertical="top"/>
    </xf>
    <xf numFmtId="44" fontId="34" fillId="27" borderId="10" xfId="68" applyNumberFormat="1" applyFont="1" applyFill="1" applyBorder="1" applyAlignment="1">
      <alignment horizontal="right" vertical="top"/>
    </xf>
    <xf numFmtId="44" fontId="34" fillId="0" borderId="16" xfId="68" applyNumberFormat="1" applyFont="1" applyBorder="1" applyAlignment="1">
      <alignment horizontal="right" vertical="top"/>
    </xf>
    <xf numFmtId="44" fontId="34" fillId="24" borderId="10" xfId="68" applyNumberFormat="1" applyFont="1" applyFill="1" applyBorder="1" applyAlignment="1">
      <alignment horizontal="right" vertical="top"/>
    </xf>
    <xf numFmtId="9" fontId="9" fillId="24" borderId="10" xfId="69" applyFont="1" applyFill="1" applyBorder="1" applyAlignment="1">
      <alignment horizontal="right" vertical="top"/>
    </xf>
    <xf numFmtId="1" fontId="34" fillId="24" borderId="10" xfId="68" applyNumberFormat="1" applyFont="1" applyFill="1" applyBorder="1" applyAlignment="1">
      <alignment horizontal="right" vertical="top"/>
    </xf>
    <xf numFmtId="44" fontId="34" fillId="24" borderId="16" xfId="68" applyNumberFormat="1" applyFont="1" applyFill="1" applyBorder="1" applyAlignment="1">
      <alignment horizontal="right" vertical="top"/>
    </xf>
    <xf numFmtId="0" fontId="34" fillId="24" borderId="0" xfId="68" applyFont="1" applyFill="1"/>
    <xf numFmtId="165" fontId="51" fillId="0" borderId="34" xfId="70" applyNumberFormat="1" applyFont="1" applyBorder="1" applyAlignment="1">
      <alignment horizontal="right" vertical="top"/>
    </xf>
    <xf numFmtId="165" fontId="51" fillId="0" borderId="16" xfId="70" applyNumberFormat="1" applyFont="1" applyBorder="1" applyAlignment="1">
      <alignment horizontal="right" vertical="top"/>
    </xf>
    <xf numFmtId="165" fontId="51" fillId="24" borderId="19" xfId="70" applyNumberFormat="1" applyFont="1" applyFill="1" applyBorder="1" applyAlignment="1">
      <alignment horizontal="right" vertical="top"/>
    </xf>
    <xf numFmtId="0" fontId="34" fillId="0" borderId="49" xfId="68" applyFont="1" applyBorder="1" applyAlignment="1">
      <alignment horizontal="right" vertical="top"/>
    </xf>
    <xf numFmtId="0" fontId="34" fillId="0" borderId="58" xfId="68" applyFont="1" applyBorder="1" applyAlignment="1">
      <alignment horizontal="right" vertical="top"/>
    </xf>
    <xf numFmtId="0" fontId="30" fillId="35" borderId="17" xfId="45" applyFont="1" applyFill="1" applyBorder="1" applyAlignment="1">
      <alignment horizontal="center" vertical="top"/>
    </xf>
    <xf numFmtId="0" fontId="30" fillId="24" borderId="20" xfId="45" applyFont="1" applyFill="1" applyBorder="1" applyAlignment="1">
      <alignment horizontal="right" vertical="top"/>
    </xf>
    <xf numFmtId="0" fontId="29" fillId="27" borderId="25" xfId="45" applyFont="1" applyFill="1" applyBorder="1" applyAlignment="1">
      <alignment horizontal="center" vertical="top" wrapText="1"/>
    </xf>
    <xf numFmtId="0" fontId="29" fillId="27" borderId="17" xfId="45" applyFont="1" applyFill="1" applyBorder="1" applyAlignment="1">
      <alignment horizontal="center" vertical="top" wrapText="1"/>
    </xf>
    <xf numFmtId="0" fontId="51" fillId="27" borderId="17" xfId="45" applyFont="1" applyFill="1" applyBorder="1" applyAlignment="1">
      <alignment horizontal="left" vertical="top" wrapText="1"/>
    </xf>
    <xf numFmtId="0" fontId="29" fillId="27" borderId="17" xfId="45" applyFont="1" applyFill="1" applyBorder="1" applyAlignment="1">
      <alignment horizontal="right" vertical="top" wrapText="1"/>
    </xf>
    <xf numFmtId="9" fontId="29" fillId="27" borderId="17" xfId="45" applyNumberFormat="1" applyFont="1" applyFill="1" applyBorder="1" applyAlignment="1">
      <alignment horizontal="right" vertical="top"/>
    </xf>
    <xf numFmtId="41" fontId="29" fillId="27" borderId="17" xfId="45" applyNumberFormat="1" applyFont="1" applyFill="1" applyBorder="1" applyAlignment="1">
      <alignment horizontal="right" vertical="top"/>
    </xf>
    <xf numFmtId="0" fontId="29" fillId="27" borderId="17" xfId="45" applyFont="1" applyFill="1" applyBorder="1" applyAlignment="1">
      <alignment horizontal="center" vertical="top"/>
    </xf>
    <xf numFmtId="43" fontId="34" fillId="0" borderId="0" xfId="68" applyNumberFormat="1" applyFont="1"/>
    <xf numFmtId="0" fontId="34" fillId="24" borderId="46" xfId="68" applyFont="1" applyFill="1" applyBorder="1" applyAlignment="1">
      <alignment horizontal="right" vertical="top"/>
    </xf>
    <xf numFmtId="0" fontId="34" fillId="0" borderId="14" xfId="68" applyFont="1" applyBorder="1" applyAlignment="1">
      <alignment horizontal="right" vertical="top"/>
    </xf>
    <xf numFmtId="0" fontId="34" fillId="0" borderId="23" xfId="68" applyFont="1" applyBorder="1" applyAlignment="1">
      <alignment horizontal="right" vertical="top"/>
    </xf>
    <xf numFmtId="0" fontId="34" fillId="0" borderId="0" xfId="68" applyFont="1" applyAlignment="1">
      <alignment horizontal="right" vertical="top"/>
    </xf>
    <xf numFmtId="165" fontId="31" fillId="29" borderId="33" xfId="68" applyNumberFormat="1" applyFont="1" applyFill="1" applyBorder="1" applyAlignment="1">
      <alignment horizontal="left" vertical="top"/>
    </xf>
    <xf numFmtId="0" fontId="2" fillId="0" borderId="21" xfId="66" applyBorder="1" applyAlignment="1">
      <alignment horizontal="center" vertical="center"/>
    </xf>
    <xf numFmtId="0" fontId="2" fillId="0" borderId="30" xfId="66" applyBorder="1" applyAlignment="1">
      <alignment horizontal="center" vertical="center"/>
    </xf>
    <xf numFmtId="0" fontId="29" fillId="24" borderId="65" xfId="45" applyFont="1" applyFill="1" applyBorder="1" applyAlignment="1">
      <alignment horizontal="center" vertical="top"/>
    </xf>
    <xf numFmtId="0" fontId="2" fillId="0" borderId="56" xfId="66" applyBorder="1"/>
    <xf numFmtId="0" fontId="2" fillId="0" borderId="56" xfId="66" applyFill="1" applyBorder="1" applyAlignment="1">
      <alignment horizontal="center"/>
    </xf>
    <xf numFmtId="0" fontId="2" fillId="0" borderId="64" xfId="66" applyBorder="1" applyAlignment="1">
      <alignment horizontal="center" vertical="center"/>
    </xf>
    <xf numFmtId="175" fontId="29" fillId="0" borderId="15" xfId="45" applyNumberFormat="1" applyFont="1" applyBorder="1" applyAlignment="1">
      <alignment horizontal="center" vertical="top"/>
    </xf>
    <xf numFmtId="165" fontId="29" fillId="27" borderId="10" xfId="55" applyNumberFormat="1" applyFont="1" applyFill="1" applyBorder="1" applyAlignment="1" applyProtection="1">
      <alignment horizontal="center" vertical="top"/>
    </xf>
    <xf numFmtId="2" fontId="30" fillId="0" borderId="15" xfId="0" applyNumberFormat="1" applyFont="1" applyFill="1" applyBorder="1" applyAlignment="1">
      <alignment horizontal="left" vertical="top" wrapText="1"/>
    </xf>
    <xf numFmtId="0" fontId="29" fillId="0" borderId="0" xfId="45" applyFont="1" applyFill="1" applyBorder="1" applyAlignment="1">
      <alignment vertical="top" wrapText="1"/>
    </xf>
    <xf numFmtId="2" fontId="53" fillId="29" borderId="33" xfId="45" applyNumberFormat="1" applyFont="1" applyFill="1" applyBorder="1" applyAlignment="1">
      <alignment horizontal="left" vertical="top"/>
    </xf>
    <xf numFmtId="0" fontId="31" fillId="29" borderId="0" xfId="66" applyFont="1" applyFill="1" applyBorder="1" applyAlignment="1">
      <alignment horizontal="left" vertical="center"/>
    </xf>
    <xf numFmtId="2" fontId="53" fillId="29" borderId="0" xfId="45" applyNumberFormat="1" applyFont="1" applyFill="1" applyBorder="1" applyAlignment="1">
      <alignment horizontal="left" vertical="top"/>
    </xf>
    <xf numFmtId="0" fontId="31" fillId="29" borderId="40" xfId="66" applyFont="1" applyFill="1" applyBorder="1" applyAlignment="1">
      <alignment horizontal="left" vertical="center"/>
    </xf>
    <xf numFmtId="0" fontId="31" fillId="29" borderId="11" xfId="66" applyFont="1" applyFill="1" applyBorder="1" applyAlignment="1">
      <alignment horizontal="left" vertical="center"/>
    </xf>
    <xf numFmtId="2" fontId="53" fillId="29" borderId="11" xfId="45" applyNumberFormat="1" applyFont="1" applyFill="1" applyBorder="1" applyAlignment="1">
      <alignment horizontal="left" vertical="top"/>
    </xf>
    <xf numFmtId="0" fontId="31" fillId="29" borderId="20" xfId="66" applyFont="1" applyFill="1" applyBorder="1" applyAlignment="1">
      <alignment horizontal="left" vertical="center"/>
    </xf>
    <xf numFmtId="0" fontId="31" fillId="29" borderId="22" xfId="66" applyFont="1" applyFill="1" applyBorder="1" applyAlignment="1">
      <alignment horizontal="left" vertical="center"/>
    </xf>
    <xf numFmtId="0" fontId="29" fillId="24" borderId="63" xfId="45" applyFont="1" applyFill="1" applyBorder="1" applyAlignment="1">
      <alignment horizontal="center" vertical="top"/>
    </xf>
    <xf numFmtId="0" fontId="51" fillId="31" borderId="25" xfId="45" applyFont="1" applyFill="1" applyBorder="1" applyAlignment="1" applyProtection="1">
      <alignment horizontal="center" vertical="top" wrapText="1"/>
    </xf>
    <xf numFmtId="0" fontId="51" fillId="31" borderId="17" xfId="45" applyFont="1" applyFill="1" applyBorder="1" applyAlignment="1" applyProtection="1">
      <alignment horizontal="center" vertical="top" wrapText="1"/>
    </xf>
    <xf numFmtId="0" fontId="51" fillId="31" borderId="26" xfId="45" applyFont="1" applyFill="1" applyBorder="1" applyAlignment="1" applyProtection="1">
      <alignment horizontal="center" vertical="top" wrapText="1"/>
    </xf>
    <xf numFmtId="44" fontId="29" fillId="32" borderId="10" xfId="55" applyFont="1" applyFill="1" applyBorder="1" applyAlignment="1" applyProtection="1">
      <alignment horizontal="center" vertical="top"/>
    </xf>
    <xf numFmtId="2" fontId="29" fillId="24" borderId="43" xfId="45" applyNumberFormat="1" applyFont="1" applyFill="1" applyBorder="1" applyAlignment="1">
      <alignment horizontal="left" vertical="top" wrapText="1"/>
    </xf>
    <xf numFmtId="44" fontId="29" fillId="24" borderId="0" xfId="45" applyNumberFormat="1" applyFont="1" applyFill="1" applyAlignment="1">
      <alignment vertical="top"/>
    </xf>
    <xf numFmtId="2" fontId="40" fillId="0" borderId="43" xfId="45" applyNumberFormat="1" applyFont="1" applyBorder="1" applyAlignment="1">
      <alignment horizontal="left" vertical="top" wrapText="1"/>
    </xf>
    <xf numFmtId="165" fontId="34" fillId="0" borderId="16" xfId="68" applyNumberFormat="1" applyFont="1" applyBorder="1" applyAlignment="1">
      <alignment horizontal="right" vertical="top"/>
    </xf>
    <xf numFmtId="166" fontId="43" fillId="24" borderId="0" xfId="45" applyNumberFormat="1" applyFont="1" applyFill="1"/>
    <xf numFmtId="165" fontId="43" fillId="24" borderId="0" xfId="45" applyNumberFormat="1" applyFont="1" applyFill="1"/>
    <xf numFmtId="165" fontId="34" fillId="24" borderId="16" xfId="68" applyNumberFormat="1" applyFont="1" applyFill="1" applyBorder="1" applyAlignment="1">
      <alignment horizontal="right" vertical="top"/>
    </xf>
    <xf numFmtId="165" fontId="29" fillId="0" borderId="55" xfId="45" applyNumberFormat="1" applyFont="1" applyBorder="1" applyAlignment="1">
      <alignment horizontal="right" vertical="top"/>
    </xf>
    <xf numFmtId="165" fontId="34" fillId="0" borderId="58" xfId="68" applyNumberFormat="1" applyFont="1" applyBorder="1" applyAlignment="1">
      <alignment horizontal="right" vertical="top"/>
    </xf>
    <xf numFmtId="165" fontId="30" fillId="35" borderId="17" xfId="45" applyNumberFormat="1" applyFont="1" applyFill="1" applyBorder="1" applyAlignment="1">
      <alignment horizontal="right" vertical="top"/>
    </xf>
    <xf numFmtId="165" fontId="34" fillId="24" borderId="10" xfId="68" applyNumberFormat="1" applyFont="1" applyFill="1" applyBorder="1" applyAlignment="1">
      <alignment horizontal="right" vertical="top"/>
    </xf>
    <xf numFmtId="44" fontId="34" fillId="0" borderId="0" xfId="68" applyNumberFormat="1" applyFont="1"/>
    <xf numFmtId="44" fontId="43" fillId="24" borderId="0" xfId="45" applyNumberFormat="1" applyFont="1" applyFill="1"/>
    <xf numFmtId="176" fontId="43" fillId="24" borderId="0" xfId="45" applyNumberFormat="1" applyFont="1" applyFill="1"/>
    <xf numFmtId="0" fontId="41" fillId="29" borderId="25" xfId="45" applyFont="1" applyFill="1" applyBorder="1" applyAlignment="1">
      <alignment vertical="top"/>
    </xf>
    <xf numFmtId="0" fontId="41" fillId="29" borderId="17" xfId="45" applyFont="1" applyFill="1" applyBorder="1" applyAlignment="1">
      <alignment vertical="top" wrapText="1"/>
    </xf>
    <xf numFmtId="164" fontId="41" fillId="29" borderId="26" xfId="45" applyNumberFormat="1" applyFont="1" applyFill="1" applyBorder="1" applyAlignment="1">
      <alignment vertical="top"/>
    </xf>
  </cellXfs>
  <cellStyles count="7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/>
    <cellStyle name="Comma 2 2" xfId="48"/>
    <cellStyle name="Currency" xfId="56" builtinId="4"/>
    <cellStyle name="Currency 2" xfId="50"/>
    <cellStyle name="Currency 3" xfId="55"/>
    <cellStyle name="Currency 4" xfId="65"/>
    <cellStyle name="Currency 5" xfId="67"/>
    <cellStyle name="Currency 6" xfId="70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54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7"/>
    <cellStyle name="Normal 2 2 2" xfId="60"/>
    <cellStyle name="Normal 2 2 3" xfId="62"/>
    <cellStyle name="Normal 2 3" xfId="45"/>
    <cellStyle name="Normal 2 3 2" xfId="52"/>
    <cellStyle name="Normal 3" xfId="37"/>
    <cellStyle name="Normal 4" xfId="43"/>
    <cellStyle name="Normal 4 2" xfId="53"/>
    <cellStyle name="Normal 4 3" xfId="51"/>
    <cellStyle name="Normal 4 4" xfId="59"/>
    <cellStyle name="Normal 5" xfId="49"/>
    <cellStyle name="Normal 6" xfId="64"/>
    <cellStyle name="Normal 7" xfId="66"/>
    <cellStyle name="Normal 8" xfId="68"/>
    <cellStyle name="Note" xfId="38" builtinId="10" customBuiltin="1"/>
    <cellStyle name="Output" xfId="39" builtinId="21" customBuiltin="1"/>
    <cellStyle name="Percent" xfId="57" builtinId="5"/>
    <cellStyle name="Percent 2" xfId="58"/>
    <cellStyle name="Percent 3" xfId="69"/>
    <cellStyle name="Percent 3 2" xfId="61"/>
    <cellStyle name="Percent 3 2 2" xfId="63"/>
    <cellStyle name="Title" xfId="40" builtinId="15" customBuiltin="1"/>
    <cellStyle name="Total" xfId="41" builtinId="25" customBuiltin="1"/>
    <cellStyle name="Warning Text" xfId="42" builtinId="11" customBuiltin="1"/>
  </cellStyles>
  <dxfs count="1">
    <dxf>
      <fill>
        <patternFill patternType="solid">
          <fgColor rgb="FFBFBFBF"/>
          <bgColor rgb="FF000000"/>
        </patternFill>
      </fill>
    </dxf>
  </dxfs>
  <tableStyles count="0" defaultTableStyle="TableStyleMedium9" defaultPivotStyle="PivotStyleLight16"/>
  <colors>
    <mruColors>
      <color rgb="FFF55D61"/>
      <color rgb="FFFED2DC"/>
      <color rgb="FFD5D5D5"/>
      <color rgb="FFB94517"/>
      <color rgb="FFFE9494"/>
      <color rgb="FFF3F3F3"/>
      <color rgb="FFF50101"/>
      <color rgb="FFCE2008"/>
      <color rgb="FFFF512C"/>
      <color rgb="FFDE7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Q61"/>
  <sheetViews>
    <sheetView showGridLines="0" view="pageBreakPreview" zoomScaleNormal="100" zoomScaleSheetLayoutView="100" workbookViewId="0"/>
  </sheetViews>
  <sheetFormatPr defaultRowHeight="15.75" x14ac:dyDescent="0.25"/>
  <cols>
    <col min="1" max="1" width="8.88671875" style="91"/>
    <col min="2" max="2" width="21.5546875" style="91" customWidth="1"/>
    <col min="3" max="3" width="43.33203125" style="91" bestFit="1" customWidth="1"/>
    <col min="4" max="4" width="7.44140625" style="91" customWidth="1"/>
    <col min="5" max="5" width="20.77734375" style="91" customWidth="1"/>
    <col min="6" max="6" width="8.88671875" style="91"/>
    <col min="7" max="7" width="11" style="187" bestFit="1" customWidth="1"/>
    <col min="8" max="8" width="12.21875" style="187" bestFit="1" customWidth="1"/>
    <col min="9" max="17" width="8.88671875" style="187"/>
    <col min="18" max="16384" width="8.88671875" style="91"/>
  </cols>
  <sheetData>
    <row r="1" spans="1:6" x14ac:dyDescent="0.25">
      <c r="A1" s="129"/>
      <c r="B1" s="130"/>
      <c r="C1" s="116"/>
      <c r="D1" s="130"/>
      <c r="E1" s="131"/>
      <c r="F1" s="132"/>
    </row>
    <row r="2" spans="1:6" ht="16.5" thickBot="1" x14ac:dyDescent="0.3">
      <c r="A2" s="87"/>
      <c r="B2" s="88"/>
      <c r="C2" s="118"/>
      <c r="D2" s="88"/>
      <c r="E2" s="89"/>
      <c r="F2" s="90"/>
    </row>
    <row r="3" spans="1:6" x14ac:dyDescent="0.25">
      <c r="A3" s="87"/>
      <c r="B3" s="92" t="s">
        <v>6</v>
      </c>
      <c r="C3" s="93"/>
      <c r="D3" s="94"/>
      <c r="E3" s="95"/>
      <c r="F3" s="90"/>
    </row>
    <row r="4" spans="1:6" ht="16.5" thickBot="1" x14ac:dyDescent="0.3">
      <c r="A4" s="96"/>
      <c r="B4" s="97" t="s">
        <v>7</v>
      </c>
      <c r="C4" s="98"/>
      <c r="D4" s="98"/>
      <c r="E4" s="99"/>
      <c r="F4" s="100"/>
    </row>
    <row r="5" spans="1:6" x14ac:dyDescent="0.25">
      <c r="A5" s="96"/>
      <c r="B5" s="101"/>
      <c r="C5" s="102" t="s">
        <v>714</v>
      </c>
      <c r="D5" s="103"/>
      <c r="E5" s="104">
        <f>'DETAILED ESTIMATE'!$L$12</f>
        <v>0</v>
      </c>
      <c r="F5" s="90"/>
    </row>
    <row r="6" spans="1:6" x14ac:dyDescent="0.25">
      <c r="A6" s="96"/>
      <c r="B6" s="101"/>
      <c r="C6" s="102" t="s">
        <v>715</v>
      </c>
      <c r="D6" s="103"/>
      <c r="E6" s="104">
        <f>'DETAILED ESTIMATE'!$L$70</f>
        <v>0</v>
      </c>
      <c r="F6" s="100"/>
    </row>
    <row r="7" spans="1:6" x14ac:dyDescent="0.25">
      <c r="A7" s="96"/>
      <c r="B7" s="101"/>
      <c r="C7" s="102" t="s">
        <v>716</v>
      </c>
      <c r="D7" s="103"/>
      <c r="E7" s="104">
        <f>'DETAILED ESTIMATE'!$L$204</f>
        <v>0</v>
      </c>
      <c r="F7" s="100"/>
    </row>
    <row r="8" spans="1:6" x14ac:dyDescent="0.25">
      <c r="A8" s="96"/>
      <c r="B8" s="101"/>
      <c r="C8" s="102" t="s">
        <v>717</v>
      </c>
      <c r="D8" s="103"/>
      <c r="E8" s="104">
        <f>'DETAILED ESTIMATE'!$L$229</f>
        <v>0</v>
      </c>
      <c r="F8" s="100"/>
    </row>
    <row r="9" spans="1:6" x14ac:dyDescent="0.25">
      <c r="A9" s="96"/>
      <c r="B9" s="101"/>
      <c r="C9" s="102" t="s">
        <v>718</v>
      </c>
      <c r="D9" s="103"/>
      <c r="E9" s="104">
        <f>'DETAILED ESTIMATE'!$L$242</f>
        <v>0</v>
      </c>
      <c r="F9" s="100"/>
    </row>
    <row r="10" spans="1:6" x14ac:dyDescent="0.25">
      <c r="A10" s="96"/>
      <c r="B10" s="101"/>
      <c r="C10" s="102" t="s">
        <v>719</v>
      </c>
      <c r="D10" s="103"/>
      <c r="E10" s="104">
        <f>'DETAILED ESTIMATE'!$L$253</f>
        <v>0</v>
      </c>
      <c r="F10" s="100"/>
    </row>
    <row r="11" spans="1:6" x14ac:dyDescent="0.25">
      <c r="A11" s="96"/>
      <c r="B11" s="101"/>
      <c r="C11" s="102" t="s">
        <v>720</v>
      </c>
      <c r="D11" s="103"/>
      <c r="E11" s="104">
        <f>'DETAILED ESTIMATE'!$L$318</f>
        <v>0</v>
      </c>
      <c r="F11" s="100"/>
    </row>
    <row r="12" spans="1:6" x14ac:dyDescent="0.25">
      <c r="A12" s="96"/>
      <c r="B12" s="101"/>
      <c r="C12" s="102" t="s">
        <v>721</v>
      </c>
      <c r="D12" s="103"/>
      <c r="E12" s="104">
        <f>'DETAILED ESTIMATE'!$L$323</f>
        <v>0</v>
      </c>
      <c r="F12" s="100"/>
    </row>
    <row r="13" spans="1:6" x14ac:dyDescent="0.25">
      <c r="A13" s="96"/>
      <c r="B13" s="101"/>
      <c r="C13" s="102" t="s">
        <v>722</v>
      </c>
      <c r="D13" s="103"/>
      <c r="E13" s="104">
        <f>'DETAILED ESTIMATE'!$L$331</f>
        <v>0</v>
      </c>
      <c r="F13" s="100"/>
    </row>
    <row r="14" spans="1:6" x14ac:dyDescent="0.25">
      <c r="A14" s="96"/>
      <c r="B14" s="101"/>
      <c r="C14" s="102" t="s">
        <v>1016</v>
      </c>
      <c r="D14" s="103"/>
      <c r="E14" s="104">
        <f>'DETAILED ESTIMATE'!L$358</f>
        <v>0</v>
      </c>
      <c r="F14" s="100"/>
    </row>
    <row r="15" spans="1:6" x14ac:dyDescent="0.25">
      <c r="A15" s="96"/>
      <c r="B15" s="101"/>
      <c r="C15" s="102" t="s">
        <v>723</v>
      </c>
      <c r="D15" s="103"/>
      <c r="E15" s="104">
        <f>'DETAILED ESTIMATE'!$L$363</f>
        <v>0</v>
      </c>
      <c r="F15" s="100"/>
    </row>
    <row r="16" spans="1:6" x14ac:dyDescent="0.25">
      <c r="A16" s="96"/>
      <c r="B16" s="101"/>
      <c r="C16" s="102" t="s">
        <v>724</v>
      </c>
      <c r="D16" s="103"/>
      <c r="E16" s="104">
        <f>'DETAILED ESTIMATE'!L$368</f>
        <v>0</v>
      </c>
      <c r="F16" s="100"/>
    </row>
    <row r="17" spans="1:6" x14ac:dyDescent="0.25">
      <c r="A17" s="96"/>
      <c r="B17" s="101"/>
      <c r="C17" s="102" t="s">
        <v>1035</v>
      </c>
      <c r="D17" s="103"/>
      <c r="E17" s="104">
        <f>'DETAILED ESTIMATE'!L$375</f>
        <v>0</v>
      </c>
      <c r="F17" s="100"/>
    </row>
    <row r="18" spans="1:6" x14ac:dyDescent="0.25">
      <c r="A18" s="96"/>
      <c r="B18" s="101"/>
      <c r="C18" s="102" t="s">
        <v>725</v>
      </c>
      <c r="D18" s="103"/>
      <c r="E18" s="104">
        <f>'DETAILED ESTIMATE'!$L$381</f>
        <v>0</v>
      </c>
      <c r="F18" s="100"/>
    </row>
    <row r="19" spans="1:6" x14ac:dyDescent="0.25">
      <c r="A19" s="96"/>
      <c r="B19" s="101"/>
      <c r="C19" s="102" t="s">
        <v>451</v>
      </c>
      <c r="D19" s="103"/>
      <c r="E19" s="104">
        <f>'DETAILED ESTIMATE'!$L$386</f>
        <v>0</v>
      </c>
      <c r="F19" s="100"/>
    </row>
    <row r="20" spans="1:6" x14ac:dyDescent="0.25">
      <c r="A20" s="96"/>
      <c r="B20" s="101"/>
      <c r="C20" s="102" t="s">
        <v>726</v>
      </c>
      <c r="D20" s="103"/>
      <c r="E20" s="104">
        <f>'DETAILED ESTIMATE'!$L$392</f>
        <v>0</v>
      </c>
      <c r="F20" s="100"/>
    </row>
    <row r="21" spans="1:6" x14ac:dyDescent="0.25">
      <c r="A21" s="96"/>
      <c r="B21" s="101"/>
      <c r="C21" s="102" t="s">
        <v>727</v>
      </c>
      <c r="D21" s="103"/>
      <c r="E21" s="104">
        <f>'DETAILED ESTIMATE'!$L$397</f>
        <v>0</v>
      </c>
      <c r="F21" s="90"/>
    </row>
    <row r="22" spans="1:6" x14ac:dyDescent="0.25">
      <c r="A22" s="96"/>
      <c r="B22" s="101"/>
      <c r="C22" s="102" t="s">
        <v>728</v>
      </c>
      <c r="D22" s="103"/>
      <c r="E22" s="104">
        <f>'DETAILED ESTIMATE'!$L$403</f>
        <v>0</v>
      </c>
      <c r="F22" s="100"/>
    </row>
    <row r="23" spans="1:6" x14ac:dyDescent="0.25">
      <c r="A23" s="96"/>
      <c r="B23" s="101"/>
      <c r="C23" s="102" t="s">
        <v>729</v>
      </c>
      <c r="D23" s="103"/>
      <c r="E23" s="104">
        <f>'DETAILED ESTIMATE'!$L$410</f>
        <v>0</v>
      </c>
      <c r="F23" s="100"/>
    </row>
    <row r="24" spans="1:6" x14ac:dyDescent="0.25">
      <c r="A24" s="96"/>
      <c r="B24" s="101"/>
      <c r="C24" s="102" t="s">
        <v>66</v>
      </c>
      <c r="D24" s="103"/>
      <c r="E24" s="104">
        <f>'DETAILED ESTIMATE'!$L$424</f>
        <v>0</v>
      </c>
      <c r="F24" s="100"/>
    </row>
    <row r="25" spans="1:6" x14ac:dyDescent="0.25">
      <c r="A25" s="96"/>
      <c r="B25" s="101"/>
      <c r="C25" s="102" t="s">
        <v>730</v>
      </c>
      <c r="D25" s="103"/>
      <c r="E25" s="104">
        <f>'DETAILED ESTIMATE'!$L$479</f>
        <v>0</v>
      </c>
      <c r="F25" s="100"/>
    </row>
    <row r="26" spans="1:6" x14ac:dyDescent="0.25">
      <c r="A26" s="96"/>
      <c r="B26" s="101"/>
      <c r="C26" s="102" t="s">
        <v>731</v>
      </c>
      <c r="D26" s="103"/>
      <c r="E26" s="104">
        <f>'DETAILED ESTIMATE'!$L$798</f>
        <v>0</v>
      </c>
      <c r="F26" s="100"/>
    </row>
    <row r="27" spans="1:6" x14ac:dyDescent="0.25">
      <c r="A27" s="96"/>
      <c r="B27" s="101"/>
      <c r="C27" s="102" t="s">
        <v>732</v>
      </c>
      <c r="D27" s="103"/>
      <c r="E27" s="104">
        <f>'DETAILED ESTIMATE'!$L$806</f>
        <v>0</v>
      </c>
      <c r="F27" s="100"/>
    </row>
    <row r="28" spans="1:6" x14ac:dyDescent="0.25">
      <c r="A28" s="96"/>
      <c r="B28" s="101"/>
      <c r="C28" s="102" t="s">
        <v>733</v>
      </c>
      <c r="D28" s="103"/>
      <c r="E28" s="104">
        <f>'DETAILED ESTIMATE'!$L$811</f>
        <v>0</v>
      </c>
      <c r="F28" s="100"/>
    </row>
    <row r="29" spans="1:6" x14ac:dyDescent="0.25">
      <c r="A29" s="96"/>
      <c r="B29" s="101"/>
      <c r="C29" s="102" t="s">
        <v>734</v>
      </c>
      <c r="D29" s="103"/>
      <c r="E29" s="104">
        <f>'DETAILED ESTIMATE'!$L$820</f>
        <v>0</v>
      </c>
      <c r="F29" s="100"/>
    </row>
    <row r="30" spans="1:6" x14ac:dyDescent="0.25">
      <c r="A30" s="96"/>
      <c r="B30" s="101"/>
      <c r="C30" s="102" t="s">
        <v>735</v>
      </c>
      <c r="D30" s="103"/>
      <c r="E30" s="104">
        <f>'DETAILED ESTIMATE'!$L$825</f>
        <v>0</v>
      </c>
      <c r="F30" s="100"/>
    </row>
    <row r="31" spans="1:6" x14ac:dyDescent="0.25">
      <c r="A31" s="96"/>
      <c r="B31" s="101"/>
      <c r="C31" s="102" t="s">
        <v>736</v>
      </c>
      <c r="D31" s="103"/>
      <c r="E31" s="104">
        <f>'DETAILED ESTIMATE'!$L$830</f>
        <v>0</v>
      </c>
      <c r="F31" s="100"/>
    </row>
    <row r="32" spans="1:6" x14ac:dyDescent="0.25">
      <c r="A32" s="96"/>
      <c r="B32" s="101"/>
      <c r="C32" s="102" t="s">
        <v>737</v>
      </c>
      <c r="D32" s="103"/>
      <c r="E32" s="104">
        <f>'DETAILED ESTIMATE'!$L$835</f>
        <v>0</v>
      </c>
      <c r="F32" s="100"/>
    </row>
    <row r="33" spans="1:8" x14ac:dyDescent="0.25">
      <c r="A33" s="96"/>
      <c r="B33" s="101"/>
      <c r="C33" s="102" t="s">
        <v>738</v>
      </c>
      <c r="D33" s="103"/>
      <c r="E33" s="104">
        <f>'DETAILED ESTIMATE'!$L$840</f>
        <v>0</v>
      </c>
      <c r="F33" s="100"/>
    </row>
    <row r="34" spans="1:8" x14ac:dyDescent="0.25">
      <c r="A34" s="96"/>
      <c r="B34" s="101"/>
      <c r="C34" s="102" t="s">
        <v>739</v>
      </c>
      <c r="D34" s="103"/>
      <c r="E34" s="104">
        <f>'DETAILED ESTIMATE'!$L$845</f>
        <v>0</v>
      </c>
      <c r="F34" s="100"/>
    </row>
    <row r="35" spans="1:8" x14ac:dyDescent="0.25">
      <c r="A35" s="96"/>
      <c r="B35" s="101"/>
      <c r="C35" s="102" t="s">
        <v>754</v>
      </c>
      <c r="D35" s="103"/>
      <c r="E35" s="104">
        <f>'DETAILED ESTIMATE'!L$850</f>
        <v>0</v>
      </c>
      <c r="F35" s="100"/>
    </row>
    <row r="36" spans="1:8" x14ac:dyDescent="0.25">
      <c r="A36" s="96"/>
      <c r="B36" s="101"/>
      <c r="C36" s="102" t="s">
        <v>740</v>
      </c>
      <c r="D36" s="103"/>
      <c r="E36" s="104">
        <f>'DETAILED ESTIMATE'!$L$855</f>
        <v>0</v>
      </c>
      <c r="F36" s="90"/>
    </row>
    <row r="37" spans="1:8" x14ac:dyDescent="0.25">
      <c r="A37" s="96"/>
      <c r="B37" s="101"/>
      <c r="C37" s="102" t="s">
        <v>741</v>
      </c>
      <c r="D37" s="103"/>
      <c r="E37" s="104">
        <f>'DETAILED ESTIMATE'!$L$862</f>
        <v>0</v>
      </c>
      <c r="F37" s="100"/>
    </row>
    <row r="38" spans="1:8" x14ac:dyDescent="0.25">
      <c r="A38" s="96"/>
      <c r="B38" s="101"/>
      <c r="C38" s="102" t="s">
        <v>742</v>
      </c>
      <c r="D38" s="103"/>
      <c r="E38" s="104">
        <f>'DETAILED ESTIMATE'!$L$880</f>
        <v>0</v>
      </c>
      <c r="F38" s="100"/>
    </row>
    <row r="39" spans="1:8" x14ac:dyDescent="0.25">
      <c r="A39" s="96"/>
      <c r="B39" s="101"/>
      <c r="C39" s="102" t="s">
        <v>743</v>
      </c>
      <c r="D39" s="103"/>
      <c r="E39" s="104">
        <f>'DETAILED ESTIMATE'!$L$885</f>
        <v>0</v>
      </c>
      <c r="F39" s="100"/>
    </row>
    <row r="40" spans="1:8" x14ac:dyDescent="0.25">
      <c r="A40" s="96"/>
      <c r="B40" s="101"/>
      <c r="C40" s="102" t="s">
        <v>65</v>
      </c>
      <c r="D40" s="103"/>
      <c r="E40" s="104">
        <f>'DETAILED ESTIMATE'!$L$893</f>
        <v>0</v>
      </c>
      <c r="F40" s="100"/>
    </row>
    <row r="41" spans="1:8" x14ac:dyDescent="0.25">
      <c r="A41" s="96"/>
      <c r="B41" s="101"/>
      <c r="C41" s="102" t="s">
        <v>744</v>
      </c>
      <c r="D41" s="103"/>
      <c r="E41" s="104">
        <f>'DETAILED ESTIMATE'!$L$904</f>
        <v>0</v>
      </c>
      <c r="F41" s="100"/>
    </row>
    <row r="42" spans="1:8" x14ac:dyDescent="0.25">
      <c r="A42" s="96"/>
      <c r="B42" s="101"/>
      <c r="C42" s="102" t="s">
        <v>745</v>
      </c>
      <c r="D42" s="103"/>
      <c r="E42" s="104">
        <f>'DETAILED ESTIMATE'!$L$909</f>
        <v>0</v>
      </c>
      <c r="F42" s="100"/>
    </row>
    <row r="43" spans="1:8" x14ac:dyDescent="0.25">
      <c r="A43" s="96"/>
      <c r="B43" s="101"/>
      <c r="C43" s="102" t="s">
        <v>746</v>
      </c>
      <c r="D43" s="103"/>
      <c r="E43" s="104">
        <f>'DETAILED ESTIMATE'!$L$918</f>
        <v>0</v>
      </c>
      <c r="F43" s="100"/>
    </row>
    <row r="44" spans="1:8" x14ac:dyDescent="0.25">
      <c r="A44" s="96"/>
      <c r="B44" s="101"/>
      <c r="C44" s="102" t="s">
        <v>747</v>
      </c>
      <c r="D44" s="103"/>
      <c r="E44" s="104">
        <f>'DETAILED ESTIMATE'!$L$923</f>
        <v>0</v>
      </c>
      <c r="F44" s="100"/>
    </row>
    <row r="45" spans="1:8" x14ac:dyDescent="0.25">
      <c r="A45" s="96"/>
      <c r="B45" s="101"/>
      <c r="C45" s="102" t="s">
        <v>748</v>
      </c>
      <c r="D45" s="103"/>
      <c r="E45" s="104">
        <f>'DETAILED ESTIMATE'!$L$934</f>
        <v>0</v>
      </c>
      <c r="F45" s="100"/>
    </row>
    <row r="46" spans="1:8" x14ac:dyDescent="0.25">
      <c r="A46" s="96"/>
      <c r="B46" s="101"/>
      <c r="C46" s="102" t="s">
        <v>749</v>
      </c>
      <c r="D46" s="103"/>
      <c r="E46" s="104">
        <f>'DETAILED ESTIMATE'!$L$951</f>
        <v>0</v>
      </c>
      <c r="F46" s="100"/>
    </row>
    <row r="47" spans="1:8" x14ac:dyDescent="0.25">
      <c r="A47" s="96"/>
      <c r="B47" s="101"/>
      <c r="C47" s="102" t="s">
        <v>750</v>
      </c>
      <c r="D47" s="103"/>
      <c r="E47" s="104">
        <f>'DETAILED ESTIMATE'!$L$957</f>
        <v>0</v>
      </c>
      <c r="F47" s="100"/>
    </row>
    <row r="48" spans="1:8" x14ac:dyDescent="0.25">
      <c r="A48" s="96"/>
      <c r="B48" s="101"/>
      <c r="C48" s="102" t="s">
        <v>1019</v>
      </c>
      <c r="D48" s="103"/>
      <c r="E48" s="104">
        <f>'DETAILED ESTIMATE'!$L$962</f>
        <v>0</v>
      </c>
      <c r="F48" s="100"/>
      <c r="G48" s="710"/>
      <c r="H48" s="711"/>
    </row>
    <row r="49" spans="1:9" x14ac:dyDescent="0.25">
      <c r="A49" s="96"/>
      <c r="B49" s="101"/>
      <c r="C49" s="102" t="s">
        <v>709</v>
      </c>
      <c r="D49" s="103"/>
      <c r="E49" s="104">
        <f>'MEP ESTIMATE'!L$37</f>
        <v>0</v>
      </c>
      <c r="F49" s="100"/>
      <c r="H49" s="718"/>
    </row>
    <row r="50" spans="1:9" x14ac:dyDescent="0.25">
      <c r="A50" s="96"/>
      <c r="B50" s="101"/>
      <c r="C50" s="102" t="s">
        <v>710</v>
      </c>
      <c r="D50" s="103"/>
      <c r="E50" s="104">
        <f>'MEP ESTIMATE'!L$154</f>
        <v>0</v>
      </c>
      <c r="F50" s="100"/>
    </row>
    <row r="51" spans="1:9" x14ac:dyDescent="0.25">
      <c r="A51" s="96"/>
      <c r="B51" s="101"/>
      <c r="C51" s="102" t="s">
        <v>711</v>
      </c>
      <c r="D51" s="103"/>
      <c r="E51" s="104">
        <f>'MEP ESTIMATE'!L$218</f>
        <v>0</v>
      </c>
      <c r="F51" s="100"/>
    </row>
    <row r="52" spans="1:9" x14ac:dyDescent="0.25">
      <c r="A52" s="96"/>
      <c r="B52" s="101"/>
      <c r="C52" s="102" t="s">
        <v>712</v>
      </c>
      <c r="D52" s="103"/>
      <c r="E52" s="104">
        <f>'MEP ESTIMATE'!L$280</f>
        <v>0</v>
      </c>
      <c r="F52" s="100"/>
    </row>
    <row r="53" spans="1:9" x14ac:dyDescent="0.25">
      <c r="A53" s="96"/>
      <c r="B53" s="101"/>
      <c r="C53" s="102" t="s">
        <v>1058</v>
      </c>
      <c r="D53" s="103"/>
      <c r="E53" s="104">
        <f>SITEWORK!L$24</f>
        <v>0</v>
      </c>
      <c r="F53" s="100"/>
    </row>
    <row r="54" spans="1:9" x14ac:dyDescent="0.25">
      <c r="A54" s="96"/>
      <c r="B54" s="101"/>
      <c r="C54" s="102" t="s">
        <v>1059</v>
      </c>
      <c r="D54" s="103"/>
      <c r="E54" s="104">
        <f>SITEWORK!L$217</f>
        <v>0</v>
      </c>
      <c r="F54" s="100"/>
    </row>
    <row r="55" spans="1:9" ht="16.5" thickBot="1" x14ac:dyDescent="0.3">
      <c r="A55" s="96"/>
      <c r="B55" s="101"/>
      <c r="C55" s="102"/>
      <c r="D55" s="103"/>
      <c r="E55" s="104"/>
      <c r="F55" s="100"/>
    </row>
    <row r="56" spans="1:9" ht="16.5" thickBot="1" x14ac:dyDescent="0.3">
      <c r="A56" s="96"/>
      <c r="B56" s="720" t="s">
        <v>36</v>
      </c>
      <c r="C56" s="721"/>
      <c r="D56" s="721"/>
      <c r="E56" s="722">
        <f>SUM(E5:E55)</f>
        <v>0</v>
      </c>
      <c r="F56" s="100"/>
    </row>
    <row r="57" spans="1:9" ht="16.5" thickBot="1" x14ac:dyDescent="0.3">
      <c r="A57" s="96"/>
      <c r="B57" s="105" t="s">
        <v>37</v>
      </c>
      <c r="C57" s="106"/>
      <c r="D57" s="186">
        <v>0.2</v>
      </c>
      <c r="E57" s="107">
        <f>D57*E56</f>
        <v>0</v>
      </c>
      <c r="F57" s="100"/>
    </row>
    <row r="58" spans="1:9" ht="16.5" thickBot="1" x14ac:dyDescent="0.3">
      <c r="A58" s="96"/>
      <c r="B58" s="105" t="s">
        <v>2</v>
      </c>
      <c r="C58" s="106"/>
      <c r="D58" s="106"/>
      <c r="E58" s="107">
        <f>SUM(E56:E57)</f>
        <v>0</v>
      </c>
      <c r="F58" s="100"/>
      <c r="G58" s="719"/>
      <c r="I58" s="719"/>
    </row>
    <row r="59" spans="1:9" x14ac:dyDescent="0.25">
      <c r="A59" s="96"/>
      <c r="B59" s="125"/>
      <c r="C59" s="126"/>
      <c r="D59" s="127"/>
      <c r="E59" s="128"/>
      <c r="F59" s="100"/>
    </row>
    <row r="60" spans="1:9" x14ac:dyDescent="0.25">
      <c r="A60" s="108"/>
      <c r="B60" s="109" t="s">
        <v>21</v>
      </c>
      <c r="C60" s="110"/>
      <c r="D60" s="110"/>
      <c r="E60" s="110"/>
      <c r="F60" s="111"/>
    </row>
    <row r="61" spans="1:9" ht="16.5" thickBot="1" x14ac:dyDescent="0.3">
      <c r="A61" s="112"/>
      <c r="B61" s="113"/>
      <c r="C61" s="114"/>
      <c r="D61" s="114"/>
      <c r="E61" s="114"/>
      <c r="F61" s="115"/>
    </row>
  </sheetData>
  <printOptions horizontalCentered="1" verticalCentered="1"/>
  <pageMargins left="0.25" right="0.25" top="0.75" bottom="0.75" header="0.3" footer="0.3"/>
  <pageSetup paperSize="140" scale="50" orientation="landscape" r:id="rId1"/>
  <headerFooter>
    <oddFooter xml:space="preserve">&amp;C&amp;P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M966"/>
  <sheetViews>
    <sheetView showGridLines="0" tabSelected="1" view="pageBreakPreview" zoomScale="90" zoomScaleNormal="90" zoomScaleSheetLayoutView="90" workbookViewId="0">
      <pane ySplit="6" topLeftCell="A7" activePane="bottomLeft" state="frozen"/>
      <selection pane="bottomLeft" activeCell="A7" sqref="A7"/>
    </sheetView>
  </sheetViews>
  <sheetFormatPr defaultColWidth="9.6640625" defaultRowHeight="15.75" x14ac:dyDescent="0.2"/>
  <cols>
    <col min="1" max="1" width="5.33203125" style="6" customWidth="1"/>
    <col min="2" max="2" width="12.33203125" style="39" customWidth="1"/>
    <col min="3" max="3" width="16.5546875" style="8" customWidth="1"/>
    <col min="4" max="4" width="7.44140625" style="8" customWidth="1"/>
    <col min="5" max="5" width="51.33203125" style="12" customWidth="1"/>
    <col min="6" max="6" width="8.109375" style="18" customWidth="1"/>
    <col min="7" max="7" width="8.109375" style="9" customWidth="1"/>
    <col min="8" max="8" width="7.88671875" style="9" customWidth="1"/>
    <col min="9" max="9" width="7.109375" style="8" customWidth="1"/>
    <col min="10" max="10" width="9.33203125" style="46" customWidth="1"/>
    <col min="11" max="11" width="11.44140625" style="10" customWidth="1"/>
    <col min="12" max="12" width="11.6640625" style="15" customWidth="1"/>
    <col min="13" max="16384" width="9.6640625" style="7"/>
  </cols>
  <sheetData>
    <row r="1" spans="1:12" s="5" customFormat="1" ht="16.5" thickBot="1" x14ac:dyDescent="0.25">
      <c r="A1" s="65" t="s">
        <v>6</v>
      </c>
      <c r="B1" s="67"/>
      <c r="C1" s="68"/>
      <c r="D1" s="69"/>
      <c r="E1" s="70"/>
      <c r="F1" s="66"/>
      <c r="G1" s="66"/>
      <c r="H1" s="66"/>
      <c r="I1" s="66"/>
      <c r="J1" s="51"/>
      <c r="K1" s="66"/>
      <c r="L1" s="243" t="s">
        <v>78</v>
      </c>
    </row>
    <row r="2" spans="1:12" s="1" customFormat="1" x14ac:dyDescent="0.2">
      <c r="A2" s="157" t="s">
        <v>7</v>
      </c>
      <c r="B2" s="158"/>
      <c r="C2" s="159"/>
      <c r="D2" s="160"/>
      <c r="E2" s="161"/>
      <c r="F2" s="162"/>
      <c r="G2" s="161"/>
      <c r="H2" s="162"/>
      <c r="I2" s="162"/>
      <c r="J2" s="119"/>
      <c r="K2" s="116"/>
      <c r="L2" s="120"/>
    </row>
    <row r="3" spans="1:12" s="1" customFormat="1" x14ac:dyDescent="0.2">
      <c r="A3" s="48" t="s">
        <v>8</v>
      </c>
      <c r="B3" s="47"/>
      <c r="C3" s="49">
        <v>45042</v>
      </c>
      <c r="D3" s="23"/>
      <c r="E3" s="297"/>
      <c r="F3" s="14"/>
      <c r="G3" s="43"/>
      <c r="H3" s="71"/>
      <c r="I3" s="16"/>
      <c r="J3" s="224"/>
      <c r="K3" s="117"/>
      <c r="L3" s="122"/>
    </row>
    <row r="4" spans="1:12" s="1" customFormat="1" x14ac:dyDescent="0.2">
      <c r="A4" s="48" t="s">
        <v>9</v>
      </c>
      <c r="B4" s="47"/>
      <c r="C4" s="49">
        <v>44790</v>
      </c>
      <c r="D4" s="23"/>
      <c r="E4" s="43"/>
      <c r="F4" s="14"/>
      <c r="G4" s="43"/>
      <c r="H4" s="71"/>
      <c r="I4" s="16"/>
      <c r="J4" s="224"/>
      <c r="K4" s="117"/>
      <c r="L4" s="122"/>
    </row>
    <row r="5" spans="1:12" s="1" customFormat="1" ht="16.5" thickBot="1" x14ac:dyDescent="0.25">
      <c r="A5" s="163" t="s">
        <v>2</v>
      </c>
      <c r="B5" s="164"/>
      <c r="C5" s="165">
        <f>L$966</f>
        <v>0</v>
      </c>
      <c r="D5" s="166"/>
      <c r="E5" s="167"/>
      <c r="F5" s="14"/>
      <c r="G5" s="43"/>
      <c r="H5" s="71"/>
      <c r="I5" s="16"/>
      <c r="J5" s="224"/>
      <c r="K5" s="123"/>
      <c r="L5" s="124"/>
    </row>
    <row r="6" spans="1:12" customFormat="1" ht="32.25" thickBot="1" x14ac:dyDescent="0.25">
      <c r="A6" s="229" t="s">
        <v>10</v>
      </c>
      <c r="B6" s="230" t="s">
        <v>14</v>
      </c>
      <c r="C6" s="230" t="s">
        <v>15</v>
      </c>
      <c r="D6" s="230" t="s">
        <v>17</v>
      </c>
      <c r="E6" s="230" t="s">
        <v>1</v>
      </c>
      <c r="F6" s="230" t="s">
        <v>38</v>
      </c>
      <c r="G6" s="230" t="s">
        <v>3</v>
      </c>
      <c r="H6" s="230" t="s">
        <v>4</v>
      </c>
      <c r="I6" s="230" t="s">
        <v>0</v>
      </c>
      <c r="J6" s="231" t="s">
        <v>68</v>
      </c>
      <c r="K6" s="232" t="s">
        <v>5</v>
      </c>
      <c r="L6" s="233" t="s">
        <v>11</v>
      </c>
    </row>
    <row r="7" spans="1:12" s="11" customFormat="1" ht="16.5" thickBot="1" x14ac:dyDescent="0.25">
      <c r="A7" s="216" t="str">
        <f>IF(F7&lt;&gt;"",1+MAX(#REF!),"")</f>
        <v/>
      </c>
      <c r="B7" s="38"/>
      <c r="C7" s="22"/>
      <c r="D7" s="22" t="s">
        <v>45</v>
      </c>
      <c r="E7" s="34" t="s">
        <v>46</v>
      </c>
      <c r="F7" s="24"/>
      <c r="G7" s="19"/>
      <c r="H7" s="19"/>
      <c r="I7" s="19"/>
      <c r="J7" s="44"/>
      <c r="K7" s="40"/>
      <c r="L7" s="217"/>
    </row>
    <row r="8" spans="1:12" s="121" customFormat="1" ht="16.5" thickBot="1" x14ac:dyDescent="0.25">
      <c r="A8" s="72" t="str">
        <f>IF(F8&lt;&gt;"",1+MAX(#REF!),"")</f>
        <v/>
      </c>
      <c r="B8" s="191"/>
      <c r="C8" s="222"/>
      <c r="D8" s="192"/>
      <c r="E8" s="192" t="s">
        <v>46</v>
      </c>
      <c r="F8" s="193"/>
      <c r="G8" s="194"/>
      <c r="H8" s="195"/>
      <c r="I8" s="196"/>
      <c r="J8" s="197"/>
      <c r="K8" s="198"/>
      <c r="L8" s="137"/>
    </row>
    <row r="9" spans="1:12" s="121" customFormat="1" ht="157.5" x14ac:dyDescent="0.2">
      <c r="A9" s="72">
        <f>IF(F9&lt;&gt;"",1+MAX($A$1:A8),"")</f>
        <v>1</v>
      </c>
      <c r="B9" s="2"/>
      <c r="C9" s="200"/>
      <c r="D9" s="199"/>
      <c r="E9" s="228" t="s">
        <v>47</v>
      </c>
      <c r="F9" s="25">
        <v>1</v>
      </c>
      <c r="G9" s="74">
        <v>0</v>
      </c>
      <c r="H9" s="3">
        <f t="shared" ref="H9:H10" si="0">F9*(1+G9)</f>
        <v>1</v>
      </c>
      <c r="I9" s="21" t="s">
        <v>48</v>
      </c>
      <c r="J9" s="215">
        <v>0</v>
      </c>
      <c r="K9" s="136">
        <f t="shared" ref="K9:K10" si="1">J9*H9</f>
        <v>0</v>
      </c>
      <c r="L9" s="137"/>
    </row>
    <row r="10" spans="1:12" s="121" customFormat="1" x14ac:dyDescent="0.2">
      <c r="A10" s="72">
        <f>IF(F10&lt;&gt;"",1+MAX($A$1:A9),"")</f>
        <v>2</v>
      </c>
      <c r="B10" s="2"/>
      <c r="C10" s="200"/>
      <c r="D10" s="199"/>
      <c r="E10" s="143" t="s">
        <v>50</v>
      </c>
      <c r="F10" s="264">
        <v>11723</v>
      </c>
      <c r="G10" s="74">
        <v>0.1</v>
      </c>
      <c r="H10" s="3">
        <f t="shared" si="0"/>
        <v>12895.300000000001</v>
      </c>
      <c r="I10" s="21" t="s">
        <v>16</v>
      </c>
      <c r="J10" s="144">
        <v>0</v>
      </c>
      <c r="K10" s="136">
        <f t="shared" si="1"/>
        <v>0</v>
      </c>
      <c r="L10" s="137"/>
    </row>
    <row r="11" spans="1:12" s="121" customFormat="1" ht="16.5" thickBot="1" x14ac:dyDescent="0.25">
      <c r="A11" s="72" t="str">
        <f>IF(F11&lt;&gt;"",1+MAX($A$1:A10),"")</f>
        <v/>
      </c>
      <c r="B11" s="200"/>
      <c r="C11" s="223"/>
      <c r="D11" s="2"/>
      <c r="E11" s="1"/>
      <c r="F11" s="202"/>
      <c r="G11" s="203"/>
      <c r="H11" s="202"/>
      <c r="I11" s="204"/>
      <c r="J11" s="205"/>
      <c r="K11" s="206"/>
      <c r="L11" s="207"/>
    </row>
    <row r="12" spans="1:12" s="121" customFormat="1" ht="16.5" thickBot="1" x14ac:dyDescent="0.25">
      <c r="A12" s="72" t="str">
        <f>IF(F12&lt;&gt;"",1+MAX($A$1:A11),"")</f>
        <v/>
      </c>
      <c r="B12" s="200"/>
      <c r="C12" s="223"/>
      <c r="D12" s="201"/>
      <c r="E12" s="35" t="s">
        <v>49</v>
      </c>
      <c r="F12" s="208"/>
      <c r="G12" s="209"/>
      <c r="H12" s="210"/>
      <c r="I12" s="211"/>
      <c r="J12" s="212"/>
      <c r="K12" s="42"/>
      <c r="L12" s="213">
        <f>SUM(K8:K11)</f>
        <v>0</v>
      </c>
    </row>
    <row r="13" spans="1:12" s="121" customFormat="1" ht="16.5" thickBot="1" x14ac:dyDescent="0.25">
      <c r="A13" s="72" t="str">
        <f>IF(F13&lt;&gt;"",1+MAX($A$1:A12),"")</f>
        <v/>
      </c>
      <c r="B13" s="200"/>
      <c r="C13" s="223"/>
      <c r="D13" s="201"/>
      <c r="E13" s="419"/>
      <c r="F13" s="420"/>
      <c r="G13" s="209"/>
      <c r="H13" s="210"/>
      <c r="I13" s="211"/>
      <c r="J13" s="212"/>
      <c r="K13" s="42"/>
      <c r="L13" s="357"/>
    </row>
    <row r="14" spans="1:12" s="11" customFormat="1" ht="16.5" thickBot="1" x14ac:dyDescent="0.25">
      <c r="A14" s="72" t="str">
        <f>IF(F14&lt;&gt;"",1+MAX($A$1:A13),"")</f>
        <v/>
      </c>
      <c r="B14" s="38"/>
      <c r="C14" s="22"/>
      <c r="D14" s="22" t="s">
        <v>564</v>
      </c>
      <c r="E14" s="34" t="s">
        <v>565</v>
      </c>
      <c r="F14" s="24"/>
      <c r="G14" s="19"/>
      <c r="H14" s="19"/>
      <c r="I14" s="19"/>
      <c r="J14" s="44"/>
      <c r="K14" s="40"/>
      <c r="L14" s="357"/>
    </row>
    <row r="15" spans="1:12" s="121" customFormat="1" ht="16.5" thickBot="1" x14ac:dyDescent="0.25">
      <c r="A15" s="72" t="str">
        <f>IF(F15&lt;&gt;"",1+MAX($A$1:A14),"")</f>
        <v/>
      </c>
      <c r="B15" s="191"/>
      <c r="C15" s="222"/>
      <c r="D15" s="192"/>
      <c r="E15" s="192" t="s">
        <v>566</v>
      </c>
      <c r="F15" s="193"/>
      <c r="G15" s="194"/>
      <c r="H15" s="245"/>
      <c r="I15" s="246"/>
      <c r="J15" s="461"/>
      <c r="K15" s="198"/>
      <c r="L15" s="137"/>
    </row>
    <row r="16" spans="1:12" s="358" customFormat="1" ht="16.5" thickBot="1" x14ac:dyDescent="0.25">
      <c r="A16" s="72" t="str">
        <f>IF(F16&lt;&gt;"",1+MAX($A$1:A15),"")</f>
        <v/>
      </c>
      <c r="B16" s="355"/>
      <c r="C16" s="421"/>
      <c r="D16" s="384"/>
      <c r="E16" s="443" t="s">
        <v>567</v>
      </c>
      <c r="F16" s="423"/>
      <c r="G16" s="424"/>
      <c r="H16" s="425"/>
      <c r="I16" s="426"/>
      <c r="J16" s="427"/>
      <c r="K16" s="428"/>
      <c r="L16" s="357"/>
    </row>
    <row r="17" spans="1:12" s="258" customFormat="1" ht="79.5" thickBot="1" x14ac:dyDescent="0.25">
      <c r="A17" s="72" t="str">
        <f>IF(F17&lt;&gt;"",1+MAX($A$1:A16),"")</f>
        <v/>
      </c>
      <c r="B17" s="83"/>
      <c r="C17" s="360"/>
      <c r="D17" s="360"/>
      <c r="E17" s="429" t="s">
        <v>568</v>
      </c>
      <c r="F17" s="394"/>
      <c r="G17" s="369"/>
      <c r="H17" s="75"/>
      <c r="I17" s="76"/>
      <c r="J17" s="370"/>
      <c r="K17" s="364"/>
      <c r="L17" s="365"/>
    </row>
    <row r="18" spans="1:12" s="258" customFormat="1" x14ac:dyDescent="0.2">
      <c r="A18" s="72">
        <f>IF(F18&lt;&gt;"",1+MAX($A$1:A17),"")</f>
        <v>3</v>
      </c>
      <c r="B18" s="83" t="s">
        <v>569</v>
      </c>
      <c r="C18" s="360" t="s">
        <v>570</v>
      </c>
      <c r="D18" s="361"/>
      <c r="E18" s="362" t="s">
        <v>513</v>
      </c>
      <c r="F18" s="264">
        <f>3.5*3.5*1.67*1/27</f>
        <v>0.75768518518518513</v>
      </c>
      <c r="G18" s="74">
        <v>0.1</v>
      </c>
      <c r="H18" s="75">
        <f t="shared" ref="H18:H22" si="2">F18*(1+G18)</f>
        <v>0.83345370370370375</v>
      </c>
      <c r="I18" s="76" t="s">
        <v>458</v>
      </c>
      <c r="J18" s="144">
        <v>0</v>
      </c>
      <c r="K18" s="364">
        <f t="shared" ref="K18:K22" si="3">J18*H18</f>
        <v>0</v>
      </c>
      <c r="L18" s="365"/>
    </row>
    <row r="19" spans="1:12" s="258" customFormat="1" x14ac:dyDescent="0.2">
      <c r="A19" s="72">
        <f>IF(F19&lt;&gt;"",1+MAX($A$1:A18),"")</f>
        <v>4</v>
      </c>
      <c r="B19" s="83" t="s">
        <v>569</v>
      </c>
      <c r="C19" s="360" t="s">
        <v>570</v>
      </c>
      <c r="D19" s="366"/>
      <c r="E19" s="372" t="s">
        <v>571</v>
      </c>
      <c r="F19" s="264">
        <f>4*3.5*1.67*1</f>
        <v>23.38</v>
      </c>
      <c r="G19" s="74">
        <v>0.1</v>
      </c>
      <c r="H19" s="75">
        <f t="shared" si="2"/>
        <v>25.718</v>
      </c>
      <c r="I19" s="76" t="s">
        <v>515</v>
      </c>
      <c r="J19" s="144">
        <v>0</v>
      </c>
      <c r="K19" s="364">
        <f t="shared" si="3"/>
        <v>0</v>
      </c>
      <c r="L19" s="365"/>
    </row>
    <row r="20" spans="1:12" s="258" customFormat="1" x14ac:dyDescent="0.2">
      <c r="A20" s="72">
        <f>IF(F20&lt;&gt;"",1+MAX($A$1:A19),"")</f>
        <v>5</v>
      </c>
      <c r="B20" s="83" t="s">
        <v>569</v>
      </c>
      <c r="C20" s="360" t="s">
        <v>570</v>
      </c>
      <c r="D20" s="366"/>
      <c r="E20" s="372" t="s">
        <v>516</v>
      </c>
      <c r="F20" s="264">
        <f>4.5*4.5*5*1/27</f>
        <v>3.75</v>
      </c>
      <c r="G20" s="74">
        <v>0.1</v>
      </c>
      <c r="H20" s="75">
        <f t="shared" si="2"/>
        <v>4.125</v>
      </c>
      <c r="I20" s="76" t="s">
        <v>458</v>
      </c>
      <c r="J20" s="144">
        <v>0</v>
      </c>
      <c r="K20" s="364">
        <f t="shared" si="3"/>
        <v>0</v>
      </c>
      <c r="L20" s="365"/>
    </row>
    <row r="21" spans="1:12" s="258" customFormat="1" x14ac:dyDescent="0.2">
      <c r="A21" s="72">
        <f>IF(F21&lt;&gt;"",1+MAX($A$1:A20),"")</f>
        <v>6</v>
      </c>
      <c r="B21" s="83" t="s">
        <v>569</v>
      </c>
      <c r="C21" s="360" t="s">
        <v>570</v>
      </c>
      <c r="D21" s="366"/>
      <c r="E21" s="372" t="s">
        <v>517</v>
      </c>
      <c r="F21" s="264">
        <f>F20-F18-2*2*2*1/27</f>
        <v>2.6960185185185188</v>
      </c>
      <c r="G21" s="74">
        <v>0.1</v>
      </c>
      <c r="H21" s="75">
        <f t="shared" si="2"/>
        <v>2.9656203703703707</v>
      </c>
      <c r="I21" s="76" t="s">
        <v>458</v>
      </c>
      <c r="J21" s="144">
        <v>0</v>
      </c>
      <c r="K21" s="364">
        <f t="shared" si="3"/>
        <v>0</v>
      </c>
      <c r="L21" s="365"/>
    </row>
    <row r="22" spans="1:12" s="258" customFormat="1" ht="16.5" thickBot="1" x14ac:dyDescent="0.25">
      <c r="A22" s="72">
        <f>IF(F22&lt;&gt;"",1+MAX($A$1:A21),"")</f>
        <v>7</v>
      </c>
      <c r="B22" s="83" t="s">
        <v>569</v>
      </c>
      <c r="C22" s="360" t="s">
        <v>570</v>
      </c>
      <c r="D22" s="366"/>
      <c r="E22" s="372" t="s">
        <v>572</v>
      </c>
      <c r="F22" s="264">
        <f>8*5.25*0.668*1.2*2*1</f>
        <v>67.334400000000002</v>
      </c>
      <c r="G22" s="74">
        <v>0.1</v>
      </c>
      <c r="H22" s="75">
        <f t="shared" si="2"/>
        <v>74.067840000000004</v>
      </c>
      <c r="I22" s="76" t="s">
        <v>573</v>
      </c>
      <c r="J22" s="144">
        <v>0</v>
      </c>
      <c r="K22" s="364">
        <f t="shared" si="3"/>
        <v>0</v>
      </c>
      <c r="L22" s="365"/>
    </row>
    <row r="23" spans="1:12" s="258" customFormat="1" ht="79.5" thickBot="1" x14ac:dyDescent="0.25">
      <c r="A23" s="72" t="str">
        <f>IF(F23&lt;&gt;"",1+MAX($A$1:A22),"")</f>
        <v/>
      </c>
      <c r="B23" s="83"/>
      <c r="C23" s="360"/>
      <c r="D23" s="360"/>
      <c r="E23" s="429" t="s">
        <v>574</v>
      </c>
      <c r="F23" s="394"/>
      <c r="G23" s="369"/>
      <c r="H23" s="75"/>
      <c r="I23" s="76"/>
      <c r="J23" s="370"/>
      <c r="K23" s="364"/>
      <c r="L23" s="365"/>
    </row>
    <row r="24" spans="1:12" s="258" customFormat="1" x14ac:dyDescent="0.2">
      <c r="A24" s="72">
        <f>IF(F24&lt;&gt;"",1+MAX($A$1:A23),"")</f>
        <v>8</v>
      </c>
      <c r="B24" s="83" t="s">
        <v>569</v>
      </c>
      <c r="C24" s="360" t="s">
        <v>570</v>
      </c>
      <c r="D24" s="361"/>
      <c r="E24" s="362" t="s">
        <v>513</v>
      </c>
      <c r="F24" s="264">
        <f>3.5*3.5*1.67*1/27</f>
        <v>0.75768518518518513</v>
      </c>
      <c r="G24" s="74">
        <v>0.1</v>
      </c>
      <c r="H24" s="75">
        <f t="shared" ref="H24:H29" si="4">F24*(1+G24)</f>
        <v>0.83345370370370375</v>
      </c>
      <c r="I24" s="76" t="s">
        <v>458</v>
      </c>
      <c r="J24" s="370">
        <f>J$18</f>
        <v>0</v>
      </c>
      <c r="K24" s="364">
        <f t="shared" ref="K24:K29" si="5">J24*H24</f>
        <v>0</v>
      </c>
      <c r="L24" s="365"/>
    </row>
    <row r="25" spans="1:12" s="258" customFormat="1" x14ac:dyDescent="0.2">
      <c r="A25" s="72">
        <f>IF(F25&lt;&gt;"",1+MAX($A$1:A24),"")</f>
        <v>9</v>
      </c>
      <c r="B25" s="83" t="s">
        <v>569</v>
      </c>
      <c r="C25" s="360" t="s">
        <v>570</v>
      </c>
      <c r="D25" s="366"/>
      <c r="E25" s="372" t="s">
        <v>571</v>
      </c>
      <c r="F25" s="264">
        <f>4*3.5*1.67*1</f>
        <v>23.38</v>
      </c>
      <c r="G25" s="74">
        <v>0.1</v>
      </c>
      <c r="H25" s="75">
        <f t="shared" si="4"/>
        <v>25.718</v>
      </c>
      <c r="I25" s="76" t="s">
        <v>515</v>
      </c>
      <c r="J25" s="370">
        <f>J$19</f>
        <v>0</v>
      </c>
      <c r="K25" s="364">
        <f t="shared" si="5"/>
        <v>0</v>
      </c>
      <c r="L25" s="365"/>
    </row>
    <row r="26" spans="1:12" s="258" customFormat="1" x14ac:dyDescent="0.2">
      <c r="A26" s="72">
        <f>IF(F26&lt;&gt;"",1+MAX($A$1:A25),"")</f>
        <v>10</v>
      </c>
      <c r="B26" s="83" t="s">
        <v>569</v>
      </c>
      <c r="C26" s="360" t="s">
        <v>570</v>
      </c>
      <c r="D26" s="366"/>
      <c r="E26" s="372" t="s">
        <v>990</v>
      </c>
      <c r="F26" s="264">
        <f>4.5*4*6.67</f>
        <v>120.06</v>
      </c>
      <c r="G26" s="74">
        <v>0.1</v>
      </c>
      <c r="H26" s="75">
        <f t="shared" si="4"/>
        <v>132.066</v>
      </c>
      <c r="I26" s="76" t="s">
        <v>16</v>
      </c>
      <c r="J26" s="144">
        <v>0</v>
      </c>
      <c r="K26" s="364">
        <f t="shared" si="5"/>
        <v>0</v>
      </c>
      <c r="L26" s="365"/>
    </row>
    <row r="27" spans="1:12" s="258" customFormat="1" x14ac:dyDescent="0.2">
      <c r="A27" s="72">
        <f>IF(F27&lt;&gt;"",1+MAX($A$1:A26),"")</f>
        <v>11</v>
      </c>
      <c r="B27" s="83" t="s">
        <v>569</v>
      </c>
      <c r="C27" s="360" t="s">
        <v>570</v>
      </c>
      <c r="D27" s="366"/>
      <c r="E27" s="372" t="s">
        <v>516</v>
      </c>
      <c r="F27" s="264">
        <f>4.5*4.5*6.67*1/27</f>
        <v>5.0024999999999995</v>
      </c>
      <c r="G27" s="74">
        <v>0.1</v>
      </c>
      <c r="H27" s="75">
        <f t="shared" si="4"/>
        <v>5.5027499999999998</v>
      </c>
      <c r="I27" s="76" t="s">
        <v>458</v>
      </c>
      <c r="J27" s="370">
        <f>J$20</f>
        <v>0</v>
      </c>
      <c r="K27" s="364">
        <f t="shared" si="5"/>
        <v>0</v>
      </c>
      <c r="L27" s="365"/>
    </row>
    <row r="28" spans="1:12" s="258" customFormat="1" x14ac:dyDescent="0.2">
      <c r="A28" s="72">
        <f>IF(F28&lt;&gt;"",1+MAX($A$1:A27),"")</f>
        <v>12</v>
      </c>
      <c r="B28" s="83" t="s">
        <v>569</v>
      </c>
      <c r="C28" s="360" t="s">
        <v>570</v>
      </c>
      <c r="D28" s="366"/>
      <c r="E28" s="372" t="s">
        <v>517</v>
      </c>
      <c r="F28" s="264">
        <f>F27-F24-2*2*3.66*1/27</f>
        <v>3.7025925925925924</v>
      </c>
      <c r="G28" s="74">
        <v>0.1</v>
      </c>
      <c r="H28" s="75">
        <f t="shared" si="4"/>
        <v>4.0728518518518522</v>
      </c>
      <c r="I28" s="76" t="s">
        <v>458</v>
      </c>
      <c r="J28" s="370">
        <f>J$21</f>
        <v>0</v>
      </c>
      <c r="K28" s="364">
        <f t="shared" si="5"/>
        <v>0</v>
      </c>
      <c r="L28" s="365"/>
    </row>
    <row r="29" spans="1:12" s="258" customFormat="1" ht="16.5" thickBot="1" x14ac:dyDescent="0.25">
      <c r="A29" s="72">
        <f>IF(F29&lt;&gt;"",1+MAX($A$1:A28),"")</f>
        <v>13</v>
      </c>
      <c r="B29" s="83" t="s">
        <v>569</v>
      </c>
      <c r="C29" s="360" t="s">
        <v>570</v>
      </c>
      <c r="D29" s="366"/>
      <c r="E29" s="372" t="s">
        <v>572</v>
      </c>
      <c r="F29" s="264">
        <f>8*5.25*0.668*1.2*2*1</f>
        <v>67.334400000000002</v>
      </c>
      <c r="G29" s="74">
        <v>0.1</v>
      </c>
      <c r="H29" s="75">
        <f t="shared" si="4"/>
        <v>74.067840000000004</v>
      </c>
      <c r="I29" s="76" t="s">
        <v>573</v>
      </c>
      <c r="J29" s="370">
        <f>J$22</f>
        <v>0</v>
      </c>
      <c r="K29" s="364">
        <f t="shared" si="5"/>
        <v>0</v>
      </c>
      <c r="L29" s="365"/>
    </row>
    <row r="30" spans="1:12" s="258" customFormat="1" ht="79.5" thickBot="1" x14ac:dyDescent="0.25">
      <c r="A30" s="72" t="str">
        <f>IF(F30&lt;&gt;"",1+MAX($A$1:A29),"")</f>
        <v/>
      </c>
      <c r="B30" s="83"/>
      <c r="C30" s="360"/>
      <c r="D30" s="360"/>
      <c r="E30" s="429" t="s">
        <v>575</v>
      </c>
      <c r="F30" s="394"/>
      <c r="G30" s="369"/>
      <c r="H30" s="75"/>
      <c r="I30" s="76"/>
      <c r="J30" s="370"/>
      <c r="K30" s="364"/>
      <c r="L30" s="365"/>
    </row>
    <row r="31" spans="1:12" s="258" customFormat="1" x14ac:dyDescent="0.2">
      <c r="A31" s="72">
        <f>IF(F31&lt;&gt;"",1+MAX($A$1:A30),"")</f>
        <v>14</v>
      </c>
      <c r="B31" s="83" t="s">
        <v>569</v>
      </c>
      <c r="C31" s="360" t="s">
        <v>576</v>
      </c>
      <c r="D31" s="361"/>
      <c r="E31" s="362" t="s">
        <v>513</v>
      </c>
      <c r="F31" s="264">
        <f>5*5*2*1/27</f>
        <v>1.8518518518518519</v>
      </c>
      <c r="G31" s="74">
        <v>0.1</v>
      </c>
      <c r="H31" s="75">
        <f t="shared" ref="H31:H35" si="6">F31*(1+G31)</f>
        <v>2.0370370370370372</v>
      </c>
      <c r="I31" s="76" t="s">
        <v>458</v>
      </c>
      <c r="J31" s="370">
        <f>J$18</f>
        <v>0</v>
      </c>
      <c r="K31" s="364">
        <f t="shared" ref="K31:K35" si="7">J31*H31</f>
        <v>0</v>
      </c>
      <c r="L31" s="365"/>
    </row>
    <row r="32" spans="1:12" s="258" customFormat="1" x14ac:dyDescent="0.2">
      <c r="A32" s="72">
        <f>IF(F32&lt;&gt;"",1+MAX($A$1:A31),"")</f>
        <v>15</v>
      </c>
      <c r="B32" s="83" t="s">
        <v>569</v>
      </c>
      <c r="C32" s="360" t="s">
        <v>576</v>
      </c>
      <c r="D32" s="366"/>
      <c r="E32" s="372" t="s">
        <v>571</v>
      </c>
      <c r="F32" s="264">
        <f>4*5*2*1</f>
        <v>40</v>
      </c>
      <c r="G32" s="74">
        <v>0.1</v>
      </c>
      <c r="H32" s="75">
        <f t="shared" si="6"/>
        <v>44</v>
      </c>
      <c r="I32" s="76" t="s">
        <v>515</v>
      </c>
      <c r="J32" s="370">
        <f>J$19</f>
        <v>0</v>
      </c>
      <c r="K32" s="364">
        <f t="shared" si="7"/>
        <v>0</v>
      </c>
      <c r="L32" s="365"/>
    </row>
    <row r="33" spans="1:12" s="258" customFormat="1" x14ac:dyDescent="0.2">
      <c r="A33" s="72">
        <f>IF(F33&lt;&gt;"",1+MAX($A$1:A32),"")</f>
        <v>16</v>
      </c>
      <c r="B33" s="83" t="s">
        <v>569</v>
      </c>
      <c r="C33" s="360" t="s">
        <v>576</v>
      </c>
      <c r="D33" s="366"/>
      <c r="E33" s="372" t="s">
        <v>516</v>
      </c>
      <c r="F33" s="264">
        <f>6*6*5*1/27</f>
        <v>6.666666666666667</v>
      </c>
      <c r="G33" s="74">
        <v>0.1</v>
      </c>
      <c r="H33" s="75">
        <f t="shared" si="6"/>
        <v>7.3333333333333339</v>
      </c>
      <c r="I33" s="76" t="s">
        <v>458</v>
      </c>
      <c r="J33" s="370">
        <f>J$20</f>
        <v>0</v>
      </c>
      <c r="K33" s="364">
        <f t="shared" si="7"/>
        <v>0</v>
      </c>
      <c r="L33" s="365"/>
    </row>
    <row r="34" spans="1:12" s="258" customFormat="1" x14ac:dyDescent="0.2">
      <c r="A34" s="72">
        <f>IF(F34&lt;&gt;"",1+MAX($A$1:A33),"")</f>
        <v>17</v>
      </c>
      <c r="B34" s="83" t="s">
        <v>569</v>
      </c>
      <c r="C34" s="360" t="s">
        <v>576</v>
      </c>
      <c r="D34" s="366"/>
      <c r="E34" s="372" t="s">
        <v>517</v>
      </c>
      <c r="F34" s="264">
        <f>F33-F31-2*2*1.66*1/27</f>
        <v>4.568888888888889</v>
      </c>
      <c r="G34" s="74">
        <v>0.1</v>
      </c>
      <c r="H34" s="75">
        <f t="shared" si="6"/>
        <v>5.0257777777777779</v>
      </c>
      <c r="I34" s="76" t="s">
        <v>458</v>
      </c>
      <c r="J34" s="370">
        <f>J$21</f>
        <v>0</v>
      </c>
      <c r="K34" s="364">
        <f t="shared" si="7"/>
        <v>0</v>
      </c>
      <c r="L34" s="365"/>
    </row>
    <row r="35" spans="1:12" s="258" customFormat="1" ht="16.5" thickBot="1" x14ac:dyDescent="0.25">
      <c r="A35" s="72">
        <f>IF(F35&lt;&gt;"",1+MAX($A$1:A34),"")</f>
        <v>18</v>
      </c>
      <c r="B35" s="83" t="s">
        <v>569</v>
      </c>
      <c r="C35" s="360" t="s">
        <v>576</v>
      </c>
      <c r="D35" s="366"/>
      <c r="E35" s="372" t="s">
        <v>577</v>
      </c>
      <c r="F35" s="264">
        <f>9*7*1.043*1.2*2*1</f>
        <v>157.70159999999996</v>
      </c>
      <c r="G35" s="74">
        <v>0.1</v>
      </c>
      <c r="H35" s="75">
        <f t="shared" si="6"/>
        <v>173.47175999999996</v>
      </c>
      <c r="I35" s="76" t="s">
        <v>573</v>
      </c>
      <c r="J35" s="370">
        <f>J$22</f>
        <v>0</v>
      </c>
      <c r="K35" s="364">
        <f t="shared" si="7"/>
        <v>0</v>
      </c>
      <c r="L35" s="365"/>
    </row>
    <row r="36" spans="1:12" s="258" customFormat="1" ht="79.5" thickBot="1" x14ac:dyDescent="0.25">
      <c r="A36" s="72" t="str">
        <f>IF(F36&lt;&gt;"",1+MAX($A$1:A35),"")</f>
        <v/>
      </c>
      <c r="B36" s="83"/>
      <c r="C36" s="360"/>
      <c r="D36" s="360"/>
      <c r="E36" s="429" t="s">
        <v>578</v>
      </c>
      <c r="F36" s="394"/>
      <c r="G36" s="369"/>
      <c r="H36" s="75"/>
      <c r="I36" s="76"/>
      <c r="J36" s="370"/>
      <c r="K36" s="364"/>
      <c r="L36" s="365"/>
    </row>
    <row r="37" spans="1:12" s="258" customFormat="1" x14ac:dyDescent="0.2">
      <c r="A37" s="72">
        <f>IF(F37&lt;&gt;"",1+MAX($A$1:A36),"")</f>
        <v>19</v>
      </c>
      <c r="B37" s="83" t="s">
        <v>569</v>
      </c>
      <c r="C37" s="360" t="s">
        <v>576</v>
      </c>
      <c r="D37" s="361"/>
      <c r="E37" s="362" t="s">
        <v>513</v>
      </c>
      <c r="F37" s="264">
        <f>5*5*2*1*3/27</f>
        <v>5.5555555555555554</v>
      </c>
      <c r="G37" s="74">
        <v>0.1</v>
      </c>
      <c r="H37" s="75">
        <f t="shared" ref="H37:H41" si="8">F37*(1+G37)</f>
        <v>6.1111111111111116</v>
      </c>
      <c r="I37" s="76" t="s">
        <v>458</v>
      </c>
      <c r="J37" s="370">
        <f>J$18</f>
        <v>0</v>
      </c>
      <c r="K37" s="364">
        <f t="shared" ref="K37:K41" si="9">J37*H37</f>
        <v>0</v>
      </c>
      <c r="L37" s="365"/>
    </row>
    <row r="38" spans="1:12" s="258" customFormat="1" x14ac:dyDescent="0.2">
      <c r="A38" s="72">
        <f>IF(F38&lt;&gt;"",1+MAX($A$1:A37),"")</f>
        <v>20</v>
      </c>
      <c r="B38" s="83" t="s">
        <v>569</v>
      </c>
      <c r="C38" s="360" t="s">
        <v>576</v>
      </c>
      <c r="D38" s="366"/>
      <c r="E38" s="372" t="s">
        <v>571</v>
      </c>
      <c r="F38" s="264">
        <f>4*5*2*3</f>
        <v>120</v>
      </c>
      <c r="G38" s="74">
        <v>0.1</v>
      </c>
      <c r="H38" s="75">
        <f t="shared" si="8"/>
        <v>132</v>
      </c>
      <c r="I38" s="76" t="s">
        <v>515</v>
      </c>
      <c r="J38" s="370">
        <f>J$19</f>
        <v>0</v>
      </c>
      <c r="K38" s="364">
        <f t="shared" si="9"/>
        <v>0</v>
      </c>
      <c r="L38" s="365"/>
    </row>
    <row r="39" spans="1:12" s="258" customFormat="1" x14ac:dyDescent="0.2">
      <c r="A39" s="72">
        <f>IF(F39&lt;&gt;"",1+MAX($A$1:A38),"")</f>
        <v>21</v>
      </c>
      <c r="B39" s="83" t="s">
        <v>569</v>
      </c>
      <c r="C39" s="360" t="s">
        <v>576</v>
      </c>
      <c r="D39" s="366"/>
      <c r="E39" s="372" t="s">
        <v>516</v>
      </c>
      <c r="F39" s="264">
        <f>6*6*3.67*3/27</f>
        <v>14.68</v>
      </c>
      <c r="G39" s="74">
        <v>0.1</v>
      </c>
      <c r="H39" s="75">
        <f t="shared" si="8"/>
        <v>16.148</v>
      </c>
      <c r="I39" s="76" t="s">
        <v>458</v>
      </c>
      <c r="J39" s="370">
        <f>J$20</f>
        <v>0</v>
      </c>
      <c r="K39" s="364">
        <f t="shared" si="9"/>
        <v>0</v>
      </c>
      <c r="L39" s="365"/>
    </row>
    <row r="40" spans="1:12" s="258" customFormat="1" x14ac:dyDescent="0.2">
      <c r="A40" s="72">
        <f>IF(F40&lt;&gt;"",1+MAX($A$1:A39),"")</f>
        <v>22</v>
      </c>
      <c r="B40" s="83" t="s">
        <v>569</v>
      </c>
      <c r="C40" s="360" t="s">
        <v>576</v>
      </c>
      <c r="D40" s="366"/>
      <c r="E40" s="372" t="s">
        <v>517</v>
      </c>
      <c r="F40" s="264">
        <f>F39-F37-2*2*1.34*3/27</f>
        <v>8.5288888888888881</v>
      </c>
      <c r="G40" s="74">
        <v>0.1</v>
      </c>
      <c r="H40" s="75">
        <f t="shared" si="8"/>
        <v>9.3817777777777778</v>
      </c>
      <c r="I40" s="76" t="s">
        <v>458</v>
      </c>
      <c r="J40" s="370">
        <f>J$21</f>
        <v>0</v>
      </c>
      <c r="K40" s="364">
        <f t="shared" si="9"/>
        <v>0</v>
      </c>
      <c r="L40" s="365"/>
    </row>
    <row r="41" spans="1:12" s="258" customFormat="1" x14ac:dyDescent="0.2">
      <c r="A41" s="72">
        <f>IF(F41&lt;&gt;"",1+MAX($A$1:A40),"")</f>
        <v>23</v>
      </c>
      <c r="B41" s="83" t="s">
        <v>569</v>
      </c>
      <c r="C41" s="360" t="s">
        <v>576</v>
      </c>
      <c r="D41" s="366"/>
      <c r="E41" s="372" t="s">
        <v>577</v>
      </c>
      <c r="F41" s="264">
        <f>9*7*1.043*1.2*2*3</f>
        <v>473.10479999999984</v>
      </c>
      <c r="G41" s="74">
        <v>0.1</v>
      </c>
      <c r="H41" s="75">
        <f t="shared" si="8"/>
        <v>520.41527999999983</v>
      </c>
      <c r="I41" s="76" t="s">
        <v>573</v>
      </c>
      <c r="J41" s="370">
        <f>J$22</f>
        <v>0</v>
      </c>
      <c r="K41" s="364">
        <f t="shared" si="9"/>
        <v>0</v>
      </c>
      <c r="L41" s="365"/>
    </row>
    <row r="42" spans="1:12" s="258" customFormat="1" ht="16.5" thickBot="1" x14ac:dyDescent="0.25">
      <c r="A42" s="72" t="str">
        <f>IF(F42&lt;&gt;"",1+MAX($A$1:A41),"")</f>
        <v/>
      </c>
      <c r="B42" s="83"/>
      <c r="C42" s="360"/>
      <c r="D42" s="366"/>
      <c r="E42" s="392"/>
      <c r="F42" s="368"/>
      <c r="G42" s="369"/>
      <c r="H42" s="75"/>
      <c r="I42" s="76"/>
      <c r="J42" s="370"/>
      <c r="K42" s="364"/>
      <c r="L42" s="365"/>
    </row>
    <row r="43" spans="1:12" s="358" customFormat="1" ht="16.5" thickBot="1" x14ac:dyDescent="0.25">
      <c r="A43" s="72" t="str">
        <f>IF(F43&lt;&gt;"",1+MAX($A$1:A42),"")</f>
        <v/>
      </c>
      <c r="B43" s="355"/>
      <c r="C43" s="421"/>
      <c r="D43" s="422"/>
      <c r="E43" s="432" t="s">
        <v>579</v>
      </c>
      <c r="F43" s="356"/>
      <c r="G43" s="424"/>
      <c r="H43" s="425"/>
      <c r="I43" s="426"/>
      <c r="J43" s="427"/>
      <c r="K43" s="428"/>
      <c r="L43" s="357"/>
    </row>
    <row r="44" spans="1:12" s="258" customFormat="1" ht="79.5" thickBot="1" x14ac:dyDescent="0.25">
      <c r="A44" s="72" t="str">
        <f>IF(F44&lt;&gt;"",1+MAX($A$1:A43),"")</f>
        <v/>
      </c>
      <c r="B44" s="83"/>
      <c r="C44" s="360"/>
      <c r="D44" s="360"/>
      <c r="E44" s="429" t="s">
        <v>580</v>
      </c>
      <c r="F44" s="394"/>
      <c r="G44" s="369"/>
      <c r="H44" s="75"/>
      <c r="I44" s="76"/>
      <c r="J44" s="370"/>
      <c r="K44" s="364"/>
      <c r="L44" s="365"/>
    </row>
    <row r="45" spans="1:12" s="258" customFormat="1" x14ac:dyDescent="0.2">
      <c r="A45" s="72">
        <f>IF(F45&lt;&gt;"",1+MAX($A$1:A44),"")</f>
        <v>24</v>
      </c>
      <c r="B45" s="83" t="s">
        <v>569</v>
      </c>
      <c r="C45" s="83" t="s">
        <v>569</v>
      </c>
      <c r="D45" s="361"/>
      <c r="E45" s="362" t="s">
        <v>513</v>
      </c>
      <c r="F45" s="264">
        <f>2*2*1.34*3/27</f>
        <v>0.59555555555555562</v>
      </c>
      <c r="G45" s="74">
        <v>0.1</v>
      </c>
      <c r="H45" s="75">
        <f t="shared" ref="H45:H48" si="10">F45*(1+G45)</f>
        <v>0.6551111111111112</v>
      </c>
      <c r="I45" s="76" t="s">
        <v>458</v>
      </c>
      <c r="J45" s="370">
        <f>J$18</f>
        <v>0</v>
      </c>
      <c r="K45" s="364">
        <f t="shared" ref="K45:K48" si="11">J45*H45</f>
        <v>0</v>
      </c>
      <c r="L45" s="365"/>
    </row>
    <row r="46" spans="1:12" s="258" customFormat="1" x14ac:dyDescent="0.2">
      <c r="A46" s="72">
        <f>IF(F46&lt;&gt;"",1+MAX($A$1:A45),"")</f>
        <v>25</v>
      </c>
      <c r="B46" s="83" t="s">
        <v>569</v>
      </c>
      <c r="C46" s="83" t="s">
        <v>569</v>
      </c>
      <c r="D46" s="366"/>
      <c r="E46" s="372" t="s">
        <v>581</v>
      </c>
      <c r="F46" s="264">
        <f>2*4*1.34*3</f>
        <v>32.160000000000004</v>
      </c>
      <c r="G46" s="74">
        <v>0.1</v>
      </c>
      <c r="H46" s="75">
        <f t="shared" si="10"/>
        <v>35.376000000000005</v>
      </c>
      <c r="I46" s="76" t="s">
        <v>515</v>
      </c>
      <c r="J46" s="144">
        <v>0</v>
      </c>
      <c r="K46" s="364">
        <f t="shared" si="11"/>
        <v>0</v>
      </c>
      <c r="L46" s="365"/>
    </row>
    <row r="47" spans="1:12" s="258" customFormat="1" x14ac:dyDescent="0.2">
      <c r="A47" s="72">
        <f>IF(F47&lt;&gt;"",1+MAX($A$1:A46),"")</f>
        <v>26</v>
      </c>
      <c r="B47" s="83" t="s">
        <v>569</v>
      </c>
      <c r="C47" s="83" t="s">
        <v>569</v>
      </c>
      <c r="D47" s="366"/>
      <c r="E47" s="372" t="s">
        <v>582</v>
      </c>
      <c r="F47" s="264">
        <f>4*2*2.67*1.2*3</f>
        <v>76.895999999999987</v>
      </c>
      <c r="G47" s="74">
        <v>0.1</v>
      </c>
      <c r="H47" s="75">
        <f t="shared" si="10"/>
        <v>84.585599999999985</v>
      </c>
      <c r="I47" s="76" t="s">
        <v>573</v>
      </c>
      <c r="J47" s="370">
        <f t="shared" ref="J47:J48" si="12">J$22</f>
        <v>0</v>
      </c>
      <c r="K47" s="364">
        <f t="shared" si="11"/>
        <v>0</v>
      </c>
      <c r="L47" s="365"/>
    </row>
    <row r="48" spans="1:12" s="258" customFormat="1" x14ac:dyDescent="0.2">
      <c r="A48" s="72">
        <f>IF(F48&lt;&gt;"",1+MAX($A$1:A47),"")</f>
        <v>27</v>
      </c>
      <c r="B48" s="83" t="s">
        <v>569</v>
      </c>
      <c r="C48" s="389" t="s">
        <v>429</v>
      </c>
      <c r="D48" s="366"/>
      <c r="E48" s="372" t="s">
        <v>583</v>
      </c>
      <c r="F48" s="264">
        <f>(1.34/0.67+1)*8*1.2*0.668*3</f>
        <v>57.715199999999996</v>
      </c>
      <c r="G48" s="74">
        <v>0.1</v>
      </c>
      <c r="H48" s="75">
        <f t="shared" si="10"/>
        <v>63.486719999999998</v>
      </c>
      <c r="I48" s="76" t="s">
        <v>573</v>
      </c>
      <c r="J48" s="370">
        <f t="shared" si="12"/>
        <v>0</v>
      </c>
      <c r="K48" s="364">
        <f t="shared" si="11"/>
        <v>0</v>
      </c>
      <c r="L48" s="365"/>
    </row>
    <row r="49" spans="1:12" s="258" customFormat="1" ht="16.5" thickBot="1" x14ac:dyDescent="0.25">
      <c r="A49" s="72" t="str">
        <f>IF(F49&lt;&gt;"",1+MAX($A$1:A48),"")</f>
        <v/>
      </c>
      <c r="B49" s="83"/>
      <c r="C49" s="360"/>
      <c r="D49" s="366"/>
      <c r="E49" s="367"/>
      <c r="F49" s="368"/>
      <c r="G49" s="369"/>
      <c r="H49" s="75"/>
      <c r="I49" s="76"/>
      <c r="J49" s="370"/>
      <c r="K49" s="364"/>
      <c r="L49" s="365"/>
    </row>
    <row r="50" spans="1:12" s="258" customFormat="1" ht="79.5" thickBot="1" x14ac:dyDescent="0.25">
      <c r="A50" s="72" t="str">
        <f>IF(F50&lt;&gt;"",1+MAX($A$1:A49),"")</f>
        <v/>
      </c>
      <c r="B50" s="83"/>
      <c r="C50" s="360"/>
      <c r="D50" s="366"/>
      <c r="E50" s="429" t="s">
        <v>584</v>
      </c>
      <c r="F50" s="264"/>
      <c r="G50" s="369"/>
      <c r="H50" s="75"/>
      <c r="I50" s="76"/>
      <c r="J50" s="370"/>
      <c r="K50" s="364"/>
      <c r="L50" s="365"/>
    </row>
    <row r="51" spans="1:12" s="258" customFormat="1" x14ac:dyDescent="0.2">
      <c r="A51" s="72">
        <f>IF(F51&lt;&gt;"",1+MAX($A$1:A50),"")</f>
        <v>28</v>
      </c>
      <c r="B51" s="83" t="s">
        <v>569</v>
      </c>
      <c r="C51" s="83" t="s">
        <v>569</v>
      </c>
      <c r="D51" s="361"/>
      <c r="E51" s="362" t="s">
        <v>513</v>
      </c>
      <c r="F51" s="391">
        <f>2*2*1.67/27</f>
        <v>0.24740740740740741</v>
      </c>
      <c r="G51" s="74">
        <v>0.1</v>
      </c>
      <c r="H51" s="75">
        <f t="shared" ref="H51:H54" si="13">F51*(1+G51)</f>
        <v>0.27214814814814819</v>
      </c>
      <c r="I51" s="76" t="s">
        <v>458</v>
      </c>
      <c r="J51" s="370">
        <f>J$18</f>
        <v>0</v>
      </c>
      <c r="K51" s="364">
        <f t="shared" ref="K51:K54" si="14">J51*H51</f>
        <v>0</v>
      </c>
      <c r="L51" s="365"/>
    </row>
    <row r="52" spans="1:12" s="258" customFormat="1" x14ac:dyDescent="0.2">
      <c r="A52" s="72">
        <f>IF(F52&lt;&gt;"",1+MAX($A$1:A51),"")</f>
        <v>29</v>
      </c>
      <c r="B52" s="83" t="s">
        <v>569</v>
      </c>
      <c r="C52" s="83" t="s">
        <v>569</v>
      </c>
      <c r="D52" s="366"/>
      <c r="E52" s="372" t="s">
        <v>581</v>
      </c>
      <c r="F52" s="264">
        <f>2*4*1.67</f>
        <v>13.36</v>
      </c>
      <c r="G52" s="74">
        <v>0.1</v>
      </c>
      <c r="H52" s="75">
        <f t="shared" si="13"/>
        <v>14.696</v>
      </c>
      <c r="I52" s="76" t="s">
        <v>515</v>
      </c>
      <c r="J52" s="370">
        <f>J$46</f>
        <v>0</v>
      </c>
      <c r="K52" s="364">
        <f t="shared" si="14"/>
        <v>0</v>
      </c>
      <c r="L52" s="365"/>
    </row>
    <row r="53" spans="1:12" s="258" customFormat="1" x14ac:dyDescent="0.2">
      <c r="A53" s="72">
        <f>IF(F53&lt;&gt;"",1+MAX($A$1:A52),"")</f>
        <v>30</v>
      </c>
      <c r="B53" s="83" t="s">
        <v>569</v>
      </c>
      <c r="C53" s="83" t="s">
        <v>569</v>
      </c>
      <c r="D53" s="366"/>
      <c r="E53" s="372" t="s">
        <v>582</v>
      </c>
      <c r="F53" s="264">
        <f>4*2.25*2.67*1.2</f>
        <v>28.835999999999999</v>
      </c>
      <c r="G53" s="74">
        <v>0.1</v>
      </c>
      <c r="H53" s="75">
        <f t="shared" si="13"/>
        <v>31.7196</v>
      </c>
      <c r="I53" s="76" t="s">
        <v>573</v>
      </c>
      <c r="J53" s="370">
        <f t="shared" ref="J53:J54" si="15">J$22</f>
        <v>0</v>
      </c>
      <c r="K53" s="364">
        <f t="shared" si="14"/>
        <v>0</v>
      </c>
      <c r="L53" s="365"/>
    </row>
    <row r="54" spans="1:12" s="258" customFormat="1" x14ac:dyDescent="0.2">
      <c r="A54" s="72">
        <f>IF(F54&lt;&gt;"",1+MAX($A$1:A53),"")</f>
        <v>31</v>
      </c>
      <c r="B54" s="83" t="s">
        <v>569</v>
      </c>
      <c r="C54" s="389" t="s">
        <v>429</v>
      </c>
      <c r="D54" s="366"/>
      <c r="E54" s="372" t="s">
        <v>583</v>
      </c>
      <c r="F54" s="264">
        <f>(1.67/0.67+1)*8*1.2*0.668</f>
        <v>22.396943283582086</v>
      </c>
      <c r="G54" s="74">
        <v>0.1</v>
      </c>
      <c r="H54" s="75">
        <f t="shared" si="13"/>
        <v>24.636637611940298</v>
      </c>
      <c r="I54" s="76" t="s">
        <v>573</v>
      </c>
      <c r="J54" s="370">
        <f t="shared" si="15"/>
        <v>0</v>
      </c>
      <c r="K54" s="364">
        <f t="shared" si="14"/>
        <v>0</v>
      </c>
      <c r="L54" s="365"/>
    </row>
    <row r="55" spans="1:12" s="258" customFormat="1" ht="16.5" thickBot="1" x14ac:dyDescent="0.25">
      <c r="A55" s="72" t="str">
        <f>IF(F55&lt;&gt;"",1+MAX($A$1:A54),"")</f>
        <v/>
      </c>
      <c r="B55" s="83"/>
      <c r="C55" s="360"/>
      <c r="D55" s="366"/>
      <c r="E55" s="367"/>
      <c r="F55" s="368"/>
      <c r="G55" s="369"/>
      <c r="H55" s="75"/>
      <c r="I55" s="76"/>
      <c r="J55" s="370"/>
      <c r="K55" s="364"/>
      <c r="L55" s="365"/>
    </row>
    <row r="56" spans="1:12" s="258" customFormat="1" ht="79.5" thickBot="1" x14ac:dyDescent="0.25">
      <c r="A56" s="72" t="str">
        <f>IF(F56&lt;&gt;"",1+MAX($A$1:A55),"")</f>
        <v/>
      </c>
      <c r="B56" s="83"/>
      <c r="C56" s="360"/>
      <c r="D56" s="366"/>
      <c r="E56" s="429" t="s">
        <v>585</v>
      </c>
      <c r="F56" s="264"/>
      <c r="G56" s="369"/>
      <c r="H56" s="75"/>
      <c r="I56" s="76"/>
      <c r="J56" s="370"/>
      <c r="K56" s="364"/>
      <c r="L56" s="365"/>
    </row>
    <row r="57" spans="1:12" s="258" customFormat="1" x14ac:dyDescent="0.2">
      <c r="A57" s="72">
        <f>IF(F57&lt;&gt;"",1+MAX($A$1:A56),"")</f>
        <v>32</v>
      </c>
      <c r="B57" s="83" t="s">
        <v>569</v>
      </c>
      <c r="C57" s="83" t="s">
        <v>569</v>
      </c>
      <c r="D57" s="361"/>
      <c r="E57" s="362" t="s">
        <v>513</v>
      </c>
      <c r="F57" s="391">
        <f>2*2*2/27</f>
        <v>0.29629629629629628</v>
      </c>
      <c r="G57" s="74">
        <v>0.1</v>
      </c>
      <c r="H57" s="75">
        <f t="shared" ref="H57:H60" si="16">F57*(1+G57)</f>
        <v>0.32592592592592595</v>
      </c>
      <c r="I57" s="76" t="s">
        <v>458</v>
      </c>
      <c r="J57" s="370">
        <f>J$18</f>
        <v>0</v>
      </c>
      <c r="K57" s="364">
        <f t="shared" ref="K57:K60" si="17">J57*H57</f>
        <v>0</v>
      </c>
      <c r="L57" s="365"/>
    </row>
    <row r="58" spans="1:12" s="258" customFormat="1" x14ac:dyDescent="0.2">
      <c r="A58" s="72">
        <f>IF(F58&lt;&gt;"",1+MAX($A$1:A57),"")</f>
        <v>33</v>
      </c>
      <c r="B58" s="83" t="s">
        <v>569</v>
      </c>
      <c r="C58" s="83" t="s">
        <v>569</v>
      </c>
      <c r="D58" s="366"/>
      <c r="E58" s="372" t="s">
        <v>581</v>
      </c>
      <c r="F58" s="264">
        <f>2*4*2</f>
        <v>16</v>
      </c>
      <c r="G58" s="74">
        <v>0.1</v>
      </c>
      <c r="H58" s="75">
        <f t="shared" si="16"/>
        <v>17.600000000000001</v>
      </c>
      <c r="I58" s="76" t="s">
        <v>515</v>
      </c>
      <c r="J58" s="370">
        <f>J$46</f>
        <v>0</v>
      </c>
      <c r="K58" s="364">
        <f t="shared" si="17"/>
        <v>0</v>
      </c>
      <c r="L58" s="365"/>
    </row>
    <row r="59" spans="1:12" s="258" customFormat="1" x14ac:dyDescent="0.2">
      <c r="A59" s="72">
        <f>IF(F59&lt;&gt;"",1+MAX($A$1:A58),"")</f>
        <v>34</v>
      </c>
      <c r="B59" s="83" t="s">
        <v>569</v>
      </c>
      <c r="C59" s="83" t="s">
        <v>569</v>
      </c>
      <c r="D59" s="366"/>
      <c r="E59" s="372" t="s">
        <v>582</v>
      </c>
      <c r="F59" s="264">
        <f>4*2.5*2.67*1.2</f>
        <v>32.04</v>
      </c>
      <c r="G59" s="74">
        <v>0.1</v>
      </c>
      <c r="H59" s="75">
        <f t="shared" si="16"/>
        <v>35.244</v>
      </c>
      <c r="I59" s="76" t="s">
        <v>573</v>
      </c>
      <c r="J59" s="370">
        <f t="shared" ref="J59:J60" si="18">J$22</f>
        <v>0</v>
      </c>
      <c r="K59" s="364">
        <f t="shared" si="17"/>
        <v>0</v>
      </c>
      <c r="L59" s="365"/>
    </row>
    <row r="60" spans="1:12" s="258" customFormat="1" x14ac:dyDescent="0.2">
      <c r="A60" s="72">
        <f>IF(F60&lt;&gt;"",1+MAX($A$1:A59),"")</f>
        <v>35</v>
      </c>
      <c r="B60" s="83" t="s">
        <v>569</v>
      </c>
      <c r="C60" s="389" t="s">
        <v>429</v>
      </c>
      <c r="D60" s="366"/>
      <c r="E60" s="372" t="s">
        <v>583</v>
      </c>
      <c r="F60" s="264">
        <f>(2/0.67+1)*8*1.2*0.668</f>
        <v>25.555486567164181</v>
      </c>
      <c r="G60" s="74">
        <v>0.1</v>
      </c>
      <c r="H60" s="75">
        <f t="shared" si="16"/>
        <v>28.111035223880602</v>
      </c>
      <c r="I60" s="76" t="s">
        <v>573</v>
      </c>
      <c r="J60" s="370">
        <f t="shared" si="18"/>
        <v>0</v>
      </c>
      <c r="K60" s="364">
        <f t="shared" si="17"/>
        <v>0</v>
      </c>
      <c r="L60" s="365"/>
    </row>
    <row r="61" spans="1:12" s="258" customFormat="1" ht="16.5" thickBot="1" x14ac:dyDescent="0.25">
      <c r="A61" s="72" t="str">
        <f>IF(F61&lt;&gt;"",1+MAX($A$1:A60),"")</f>
        <v/>
      </c>
      <c r="B61" s="83"/>
      <c r="C61" s="360"/>
      <c r="D61" s="366"/>
      <c r="E61" s="367"/>
      <c r="F61" s="368"/>
      <c r="G61" s="369"/>
      <c r="H61" s="75"/>
      <c r="I61" s="76"/>
      <c r="J61" s="370"/>
      <c r="K61" s="364"/>
      <c r="L61" s="365"/>
    </row>
    <row r="62" spans="1:12" s="258" customFormat="1" ht="79.5" thickBot="1" x14ac:dyDescent="0.25">
      <c r="A62" s="72" t="str">
        <f>IF(F62&lt;&gt;"",1+MAX($A$1:A61),"")</f>
        <v/>
      </c>
      <c r="B62" s="83"/>
      <c r="C62" s="360"/>
      <c r="D62" s="366"/>
      <c r="E62" s="429" t="s">
        <v>586</v>
      </c>
      <c r="F62" s="264"/>
      <c r="G62" s="369"/>
      <c r="H62" s="75"/>
      <c r="I62" s="76"/>
      <c r="J62" s="370"/>
      <c r="K62" s="364"/>
      <c r="L62" s="365"/>
    </row>
    <row r="63" spans="1:12" s="258" customFormat="1" x14ac:dyDescent="0.2">
      <c r="A63" s="72">
        <f>IF(F63&lt;&gt;"",1+MAX($A$1:A62),"")</f>
        <v>36</v>
      </c>
      <c r="B63" s="83" t="s">
        <v>569</v>
      </c>
      <c r="C63" s="83" t="s">
        <v>569</v>
      </c>
      <c r="D63" s="361"/>
      <c r="E63" s="362" t="s">
        <v>513</v>
      </c>
      <c r="F63" s="391">
        <f>2*2*3.67/27</f>
        <v>0.54370370370370369</v>
      </c>
      <c r="G63" s="74">
        <v>0.1</v>
      </c>
      <c r="H63" s="75">
        <f t="shared" ref="H63:H66" si="19">F63*(1+G63)</f>
        <v>0.59807407407407409</v>
      </c>
      <c r="I63" s="76" t="s">
        <v>458</v>
      </c>
      <c r="J63" s="370">
        <f>J$18</f>
        <v>0</v>
      </c>
      <c r="K63" s="364">
        <f t="shared" ref="K63:K66" si="20">J63*H63</f>
        <v>0</v>
      </c>
      <c r="L63" s="365"/>
    </row>
    <row r="64" spans="1:12" s="258" customFormat="1" x14ac:dyDescent="0.2">
      <c r="A64" s="72">
        <f>IF(F64&lt;&gt;"",1+MAX($A$1:A63),"")</f>
        <v>37</v>
      </c>
      <c r="B64" s="83" t="s">
        <v>569</v>
      </c>
      <c r="C64" s="83" t="s">
        <v>569</v>
      </c>
      <c r="D64" s="366"/>
      <c r="E64" s="372" t="s">
        <v>581</v>
      </c>
      <c r="F64" s="264">
        <f>2*4*3.67</f>
        <v>29.36</v>
      </c>
      <c r="G64" s="74">
        <v>0.1</v>
      </c>
      <c r="H64" s="75">
        <f t="shared" si="19"/>
        <v>32.295999999999999</v>
      </c>
      <c r="I64" s="76" t="s">
        <v>515</v>
      </c>
      <c r="J64" s="370">
        <f>J$46</f>
        <v>0</v>
      </c>
      <c r="K64" s="364">
        <f t="shared" si="20"/>
        <v>0</v>
      </c>
      <c r="L64" s="365"/>
    </row>
    <row r="65" spans="1:12" s="258" customFormat="1" x14ac:dyDescent="0.2">
      <c r="A65" s="72">
        <f>IF(F65&lt;&gt;"",1+MAX($A$1:A64),"")</f>
        <v>38</v>
      </c>
      <c r="B65" s="83" t="s">
        <v>569</v>
      </c>
      <c r="C65" s="83" t="s">
        <v>569</v>
      </c>
      <c r="D65" s="366"/>
      <c r="E65" s="372" t="s">
        <v>582</v>
      </c>
      <c r="F65" s="264">
        <f>4*4*2.67*1.2</f>
        <v>51.263999999999996</v>
      </c>
      <c r="G65" s="74">
        <v>0.1</v>
      </c>
      <c r="H65" s="75">
        <f t="shared" si="19"/>
        <v>56.3904</v>
      </c>
      <c r="I65" s="76" t="s">
        <v>573</v>
      </c>
      <c r="J65" s="370">
        <f t="shared" ref="J65:J66" si="21">J$22</f>
        <v>0</v>
      </c>
      <c r="K65" s="364">
        <f t="shared" si="20"/>
        <v>0</v>
      </c>
      <c r="L65" s="365"/>
    </row>
    <row r="66" spans="1:12" s="258" customFormat="1" x14ac:dyDescent="0.2">
      <c r="A66" s="72">
        <f>IF(F66&lt;&gt;"",1+MAX($A$1:A65),"")</f>
        <v>39</v>
      </c>
      <c r="B66" s="83" t="s">
        <v>569</v>
      </c>
      <c r="C66" s="389" t="s">
        <v>429</v>
      </c>
      <c r="D66" s="366"/>
      <c r="E66" s="372" t="s">
        <v>583</v>
      </c>
      <c r="F66" s="264">
        <f>(3.67/0.67+1)*8*1.2*0.668</f>
        <v>41.539629850746266</v>
      </c>
      <c r="G66" s="74">
        <v>0.1</v>
      </c>
      <c r="H66" s="75">
        <f t="shared" si="19"/>
        <v>45.693592835820894</v>
      </c>
      <c r="I66" s="76" t="s">
        <v>573</v>
      </c>
      <c r="J66" s="370">
        <f t="shared" si="21"/>
        <v>0</v>
      </c>
      <c r="K66" s="364">
        <f t="shared" si="20"/>
        <v>0</v>
      </c>
      <c r="L66" s="365"/>
    </row>
    <row r="67" spans="1:12" s="258" customFormat="1" x14ac:dyDescent="0.2">
      <c r="A67" s="72" t="str">
        <f>IF(F67&lt;&gt;"",1+MAX($A$1:A66),"")</f>
        <v/>
      </c>
      <c r="B67" s="83"/>
      <c r="C67" s="360"/>
      <c r="D67" s="366"/>
      <c r="E67" s="430" t="s">
        <v>587</v>
      </c>
      <c r="F67" s="368"/>
      <c r="G67" s="369"/>
      <c r="H67" s="75"/>
      <c r="I67" s="76"/>
      <c r="J67" s="370"/>
      <c r="K67" s="364"/>
      <c r="L67" s="365"/>
    </row>
    <row r="68" spans="1:12" s="258" customFormat="1" ht="31.5" x14ac:dyDescent="0.2">
      <c r="A68" s="72">
        <f>IF(F68&lt;&gt;"",1+MAX($A$1:A67),"")</f>
        <v>40</v>
      </c>
      <c r="B68" s="83" t="s">
        <v>569</v>
      </c>
      <c r="C68" s="360"/>
      <c r="D68" s="366"/>
      <c r="E68" s="372" t="s">
        <v>991</v>
      </c>
      <c r="F68" s="264">
        <v>6</v>
      </c>
      <c r="G68" s="369">
        <v>0</v>
      </c>
      <c r="H68" s="75">
        <f t="shared" ref="H68" si="22">F68*(1+G68)</f>
        <v>6</v>
      </c>
      <c r="I68" s="76" t="s">
        <v>18</v>
      </c>
      <c r="J68" s="144">
        <v>0</v>
      </c>
      <c r="K68" s="364">
        <f t="shared" ref="K68" si="23">J68*H68</f>
        <v>0</v>
      </c>
      <c r="L68" s="365"/>
    </row>
    <row r="69" spans="1:12" s="258" customFormat="1" ht="16.5" thickBot="1" x14ac:dyDescent="0.25">
      <c r="A69" s="72" t="str">
        <f>IF(F69&lt;&gt;"",1+MAX($A$1:A68),"")</f>
        <v/>
      </c>
      <c r="B69" s="83"/>
      <c r="C69" s="360"/>
      <c r="D69" s="374"/>
      <c r="E69" s="375"/>
      <c r="F69" s="202"/>
      <c r="G69" s="203"/>
      <c r="H69" s="202"/>
      <c r="I69" s="204"/>
      <c r="J69" s="376"/>
      <c r="K69" s="377"/>
      <c r="L69" s="378"/>
    </row>
    <row r="70" spans="1:12" s="258" customFormat="1" ht="16.5" thickBot="1" x14ac:dyDescent="0.25">
      <c r="A70" s="72" t="str">
        <f>IF(F70&lt;&gt;"",1+MAX($A$1:A69),"")</f>
        <v/>
      </c>
      <c r="B70" s="366"/>
      <c r="C70" s="366"/>
      <c r="D70" s="379"/>
      <c r="E70" s="380" t="s">
        <v>588</v>
      </c>
      <c r="F70" s="368"/>
      <c r="G70" s="381"/>
      <c r="H70" s="75"/>
      <c r="I70" s="76"/>
      <c r="J70" s="382"/>
      <c r="K70" s="42"/>
      <c r="L70" s="383">
        <f>SUM(K15:K69)</f>
        <v>0</v>
      </c>
    </row>
    <row r="71" spans="1:12" s="258" customFormat="1" ht="16.5" thickBot="1" x14ac:dyDescent="0.25">
      <c r="A71" s="72" t="str">
        <f>IF(F71&lt;&gt;"",1+MAX($A$1:A70),"")</f>
        <v/>
      </c>
      <c r="B71" s="83"/>
      <c r="C71" s="360"/>
      <c r="D71" s="366"/>
      <c r="E71" s="367"/>
      <c r="F71" s="286"/>
      <c r="G71" s="369"/>
      <c r="H71" s="75"/>
      <c r="I71" s="76"/>
      <c r="J71" s="370"/>
      <c r="K71" s="364"/>
      <c r="L71" s="365"/>
    </row>
    <row r="72" spans="1:12" s="358" customFormat="1" ht="16.5" thickBot="1" x14ac:dyDescent="0.25">
      <c r="A72" s="72" t="str">
        <f>IF(F72&lt;&gt;"",1+MAX($A$1:A71),"")</f>
        <v/>
      </c>
      <c r="B72" s="355"/>
      <c r="C72" s="421"/>
      <c r="D72" s="422"/>
      <c r="E72" s="432" t="s">
        <v>589</v>
      </c>
      <c r="F72" s="356"/>
      <c r="G72" s="424"/>
      <c r="H72" s="425"/>
      <c r="I72" s="426"/>
      <c r="J72" s="427"/>
      <c r="K72" s="428"/>
      <c r="L72" s="357"/>
    </row>
    <row r="73" spans="1:12" s="258" customFormat="1" ht="63.75" thickBot="1" x14ac:dyDescent="0.25">
      <c r="A73" s="72" t="str">
        <f>IF(F73&lt;&gt;"",1+MAX($A$1:A72),"")</f>
        <v/>
      </c>
      <c r="B73" s="83"/>
      <c r="C73" s="360"/>
      <c r="D73" s="360"/>
      <c r="E73" s="429" t="s">
        <v>590</v>
      </c>
      <c r="F73" s="394"/>
      <c r="G73" s="369"/>
      <c r="H73" s="75"/>
      <c r="I73" s="76"/>
      <c r="J73" s="370"/>
      <c r="K73" s="364"/>
      <c r="L73" s="365"/>
    </row>
    <row r="74" spans="1:12" s="258" customFormat="1" x14ac:dyDescent="0.2">
      <c r="A74" s="72">
        <f>IF(F74&lt;&gt;"",1+MAX($A$1:A73),"")</f>
        <v>41</v>
      </c>
      <c r="B74" s="83" t="s">
        <v>569</v>
      </c>
      <c r="C74" s="360" t="s">
        <v>591</v>
      </c>
      <c r="D74" s="361"/>
      <c r="E74" s="362" t="s">
        <v>513</v>
      </c>
      <c r="F74" s="264">
        <f>2*2*1/27</f>
        <v>0.14814814814814814</v>
      </c>
      <c r="G74" s="74">
        <v>0.1</v>
      </c>
      <c r="H74" s="75">
        <f t="shared" ref="H74:H81" si="24">F74*(1+G74)</f>
        <v>0.16296296296296298</v>
      </c>
      <c r="I74" s="76" t="s">
        <v>458</v>
      </c>
      <c r="J74" s="370">
        <f>J$18</f>
        <v>0</v>
      </c>
      <c r="K74" s="364">
        <f t="shared" ref="K74:K81" si="25">J74*H74</f>
        <v>0</v>
      </c>
      <c r="L74" s="365"/>
    </row>
    <row r="75" spans="1:12" s="258" customFormat="1" x14ac:dyDescent="0.2">
      <c r="A75" s="72">
        <f>IF(F75&lt;&gt;"",1+MAX($A$1:A74),"")</f>
        <v>42</v>
      </c>
      <c r="B75" s="83" t="s">
        <v>569</v>
      </c>
      <c r="C75" s="360" t="s">
        <v>591</v>
      </c>
      <c r="D75" s="366"/>
      <c r="E75" s="372" t="s">
        <v>592</v>
      </c>
      <c r="F75" s="264">
        <f>2*1*2</f>
        <v>4</v>
      </c>
      <c r="G75" s="74">
        <v>0.1</v>
      </c>
      <c r="H75" s="75">
        <f t="shared" si="24"/>
        <v>4.4000000000000004</v>
      </c>
      <c r="I75" s="76" t="s">
        <v>515</v>
      </c>
      <c r="J75" s="144">
        <v>0</v>
      </c>
      <c r="K75" s="364">
        <f t="shared" si="25"/>
        <v>0</v>
      </c>
      <c r="L75" s="365"/>
    </row>
    <row r="76" spans="1:12" s="258" customFormat="1" x14ac:dyDescent="0.2">
      <c r="A76" s="72">
        <f>IF(F76&lt;&gt;"",1+MAX($A$1:A75),"")</f>
        <v>43</v>
      </c>
      <c r="B76" s="83" t="s">
        <v>569</v>
      </c>
      <c r="C76" s="360" t="s">
        <v>591</v>
      </c>
      <c r="D76" s="366"/>
      <c r="E76" s="372" t="s">
        <v>516</v>
      </c>
      <c r="F76" s="264">
        <f>2*3*5/27</f>
        <v>1.1111111111111112</v>
      </c>
      <c r="G76" s="74">
        <v>0.1</v>
      </c>
      <c r="H76" s="75">
        <f t="shared" si="24"/>
        <v>1.2222222222222223</v>
      </c>
      <c r="I76" s="76" t="s">
        <v>458</v>
      </c>
      <c r="J76" s="370">
        <f>J$20</f>
        <v>0</v>
      </c>
      <c r="K76" s="364">
        <f t="shared" si="25"/>
        <v>0</v>
      </c>
      <c r="L76" s="365"/>
    </row>
    <row r="77" spans="1:12" s="258" customFormat="1" x14ac:dyDescent="0.2">
      <c r="A77" s="72">
        <f>IF(F77&lt;&gt;"",1+MAX($A$1:A76),"")</f>
        <v>44</v>
      </c>
      <c r="B77" s="83" t="s">
        <v>569</v>
      </c>
      <c r="C77" s="360" t="s">
        <v>591</v>
      </c>
      <c r="D77" s="366"/>
      <c r="E77" s="372" t="s">
        <v>517</v>
      </c>
      <c r="F77" s="264">
        <f>F76-F74-4*1.17*2/27</f>
        <v>0.61629629629629634</v>
      </c>
      <c r="G77" s="74">
        <v>0.1</v>
      </c>
      <c r="H77" s="75">
        <f t="shared" si="24"/>
        <v>0.67792592592592604</v>
      </c>
      <c r="I77" s="76" t="s">
        <v>458</v>
      </c>
      <c r="J77" s="370">
        <f>J$21</f>
        <v>0</v>
      </c>
      <c r="K77" s="364">
        <f t="shared" si="25"/>
        <v>0</v>
      </c>
      <c r="L77" s="365"/>
    </row>
    <row r="78" spans="1:12" s="258" customFormat="1" x14ac:dyDescent="0.2">
      <c r="A78" s="72">
        <f>IF(F78&lt;&gt;"",1+MAX($A$1:A77),"")</f>
        <v>45</v>
      </c>
      <c r="B78" s="83" t="s">
        <v>569</v>
      </c>
      <c r="C78" s="360" t="s">
        <v>591</v>
      </c>
      <c r="D78" s="366"/>
      <c r="E78" s="367" t="s">
        <v>593</v>
      </c>
      <c r="F78" s="264">
        <f>(2/1+1)*2*0.668*1.2</f>
        <v>4.8095999999999997</v>
      </c>
      <c r="G78" s="74">
        <v>0.1</v>
      </c>
      <c r="H78" s="75">
        <f t="shared" si="24"/>
        <v>5.2905600000000002</v>
      </c>
      <c r="I78" s="76" t="s">
        <v>573</v>
      </c>
      <c r="J78" s="370">
        <f>J$22</f>
        <v>0</v>
      </c>
      <c r="K78" s="364">
        <f t="shared" si="25"/>
        <v>0</v>
      </c>
      <c r="L78" s="365"/>
    </row>
    <row r="79" spans="1:12" s="258" customFormat="1" x14ac:dyDescent="0.2">
      <c r="A79" s="72">
        <f>IF(F79&lt;&gt;"",1+MAX($A$1:A78),"")</f>
        <v>46</v>
      </c>
      <c r="B79" s="83" t="s">
        <v>569</v>
      </c>
      <c r="C79" s="360" t="s">
        <v>591</v>
      </c>
      <c r="D79" s="366"/>
      <c r="E79" s="367" t="s">
        <v>594</v>
      </c>
      <c r="F79" s="264">
        <f>4*2*0.668*1.2</f>
        <v>6.4127999999999998</v>
      </c>
      <c r="G79" s="74">
        <v>0.1</v>
      </c>
      <c r="H79" s="75">
        <f t="shared" si="24"/>
        <v>7.0540800000000008</v>
      </c>
      <c r="I79" s="76" t="s">
        <v>573</v>
      </c>
      <c r="J79" s="370">
        <f t="shared" ref="J79:J81" si="26">J$22</f>
        <v>0</v>
      </c>
      <c r="K79" s="364">
        <f t="shared" si="25"/>
        <v>0</v>
      </c>
      <c r="L79" s="365"/>
    </row>
    <row r="80" spans="1:12" s="258" customFormat="1" x14ac:dyDescent="0.2">
      <c r="A80" s="72">
        <f>IF(F80&lt;&gt;"",1+MAX($A$1:A79),"")</f>
        <v>47</v>
      </c>
      <c r="B80" s="83" t="s">
        <v>569</v>
      </c>
      <c r="C80" s="360" t="s">
        <v>591</v>
      </c>
      <c r="D80" s="366"/>
      <c r="E80" s="367" t="s">
        <v>595</v>
      </c>
      <c r="F80" s="264">
        <f>(2/4+1)*2.5*0.668*1.2</f>
        <v>3.0060000000000002</v>
      </c>
      <c r="G80" s="74">
        <v>0.1</v>
      </c>
      <c r="H80" s="75">
        <f t="shared" si="24"/>
        <v>3.3066000000000004</v>
      </c>
      <c r="I80" s="76" t="s">
        <v>573</v>
      </c>
      <c r="J80" s="370">
        <f t="shared" si="26"/>
        <v>0</v>
      </c>
      <c r="K80" s="364">
        <f t="shared" si="25"/>
        <v>0</v>
      </c>
      <c r="L80" s="365"/>
    </row>
    <row r="81" spans="1:12" s="258" customFormat="1" x14ac:dyDescent="0.2">
      <c r="A81" s="72">
        <f>IF(F81&lt;&gt;"",1+MAX($A$1:A80),"")</f>
        <v>48</v>
      </c>
      <c r="B81" s="83" t="s">
        <v>569</v>
      </c>
      <c r="C81" s="360" t="s">
        <v>591</v>
      </c>
      <c r="D81" s="366"/>
      <c r="E81" s="367" t="s">
        <v>596</v>
      </c>
      <c r="F81" s="264">
        <f>(2/4+1)*3.25*0.668*1.2</f>
        <v>3.9078000000000004</v>
      </c>
      <c r="G81" s="74">
        <v>0.1</v>
      </c>
      <c r="H81" s="75">
        <f t="shared" si="24"/>
        <v>4.2985800000000012</v>
      </c>
      <c r="I81" s="76" t="s">
        <v>573</v>
      </c>
      <c r="J81" s="370">
        <f t="shared" si="26"/>
        <v>0</v>
      </c>
      <c r="K81" s="364">
        <f t="shared" si="25"/>
        <v>0</v>
      </c>
      <c r="L81" s="365"/>
    </row>
    <row r="82" spans="1:12" s="258" customFormat="1" ht="16.5" thickBot="1" x14ac:dyDescent="0.25">
      <c r="A82" s="72" t="str">
        <f>IF(F82&lt;&gt;"",1+MAX($A$1:A81),"")</f>
        <v/>
      </c>
      <c r="B82" s="83"/>
      <c r="C82" s="360"/>
      <c r="D82" s="366"/>
      <c r="E82" s="367"/>
      <c r="F82" s="368"/>
      <c r="G82" s="369"/>
      <c r="H82" s="75"/>
      <c r="I82" s="76"/>
      <c r="J82" s="370"/>
      <c r="K82" s="364"/>
      <c r="L82" s="365"/>
    </row>
    <row r="83" spans="1:12" s="258" customFormat="1" ht="63.75" thickBot="1" x14ac:dyDescent="0.25">
      <c r="A83" s="72" t="str">
        <f>IF(F83&lt;&gt;"",1+MAX($A$1:A82),"")</f>
        <v/>
      </c>
      <c r="B83" s="83"/>
      <c r="C83" s="360"/>
      <c r="D83" s="360"/>
      <c r="E83" s="429" t="s">
        <v>597</v>
      </c>
      <c r="F83" s="394"/>
      <c r="G83" s="369"/>
      <c r="H83" s="75"/>
      <c r="I83" s="76"/>
      <c r="J83" s="370"/>
      <c r="K83" s="364"/>
      <c r="L83" s="365"/>
    </row>
    <row r="84" spans="1:12" s="258" customFormat="1" x14ac:dyDescent="0.2">
      <c r="A84" s="72">
        <f>IF(F84&lt;&gt;"",1+MAX($A$1:A83),"")</f>
        <v>49</v>
      </c>
      <c r="B84" s="83" t="s">
        <v>569</v>
      </c>
      <c r="C84" s="360" t="s">
        <v>591</v>
      </c>
      <c r="D84" s="361"/>
      <c r="E84" s="362" t="s">
        <v>513</v>
      </c>
      <c r="F84" s="264">
        <f>4*2*1/27</f>
        <v>0.29629629629629628</v>
      </c>
      <c r="G84" s="74">
        <v>0.1</v>
      </c>
      <c r="H84" s="75">
        <f t="shared" ref="H84:H91" si="27">F84*(1+G84)</f>
        <v>0.32592592592592595</v>
      </c>
      <c r="I84" s="76" t="s">
        <v>458</v>
      </c>
      <c r="J84" s="370">
        <f>J$18</f>
        <v>0</v>
      </c>
      <c r="K84" s="364">
        <f t="shared" ref="K84:K91" si="28">J84*H84</f>
        <v>0</v>
      </c>
      <c r="L84" s="365"/>
    </row>
    <row r="85" spans="1:12" s="258" customFormat="1" x14ac:dyDescent="0.2">
      <c r="A85" s="72">
        <f>IF(F85&lt;&gt;"",1+MAX($A$1:A84),"")</f>
        <v>50</v>
      </c>
      <c r="B85" s="83" t="s">
        <v>569</v>
      </c>
      <c r="C85" s="360" t="s">
        <v>591</v>
      </c>
      <c r="D85" s="366"/>
      <c r="E85" s="372" t="s">
        <v>592</v>
      </c>
      <c r="F85" s="264">
        <f>4*1*2</f>
        <v>8</v>
      </c>
      <c r="G85" s="74">
        <v>0.1</v>
      </c>
      <c r="H85" s="75">
        <f t="shared" si="27"/>
        <v>8.8000000000000007</v>
      </c>
      <c r="I85" s="76" t="s">
        <v>515</v>
      </c>
      <c r="J85" s="370">
        <f>J$75</f>
        <v>0</v>
      </c>
      <c r="K85" s="364">
        <f t="shared" si="28"/>
        <v>0</v>
      </c>
      <c r="L85" s="365"/>
    </row>
    <row r="86" spans="1:12" s="258" customFormat="1" x14ac:dyDescent="0.2">
      <c r="A86" s="72">
        <f>IF(F86&lt;&gt;"",1+MAX($A$1:A85),"")</f>
        <v>51</v>
      </c>
      <c r="B86" s="83" t="s">
        <v>569</v>
      </c>
      <c r="C86" s="360" t="s">
        <v>591</v>
      </c>
      <c r="D86" s="366"/>
      <c r="E86" s="372" t="s">
        <v>516</v>
      </c>
      <c r="F86" s="264">
        <f>4*3*5.67/27</f>
        <v>2.5199999999999996</v>
      </c>
      <c r="G86" s="74">
        <v>0.1</v>
      </c>
      <c r="H86" s="75">
        <f t="shared" si="27"/>
        <v>2.7719999999999998</v>
      </c>
      <c r="I86" s="76" t="s">
        <v>458</v>
      </c>
      <c r="J86" s="370">
        <f>J$20</f>
        <v>0</v>
      </c>
      <c r="K86" s="364">
        <f t="shared" si="28"/>
        <v>0</v>
      </c>
      <c r="L86" s="365"/>
    </row>
    <row r="87" spans="1:12" s="258" customFormat="1" x14ac:dyDescent="0.2">
      <c r="A87" s="72">
        <f>IF(F87&lt;&gt;"",1+MAX($A$1:A86),"")</f>
        <v>52</v>
      </c>
      <c r="B87" s="83" t="s">
        <v>569</v>
      </c>
      <c r="C87" s="360" t="s">
        <v>591</v>
      </c>
      <c r="D87" s="366"/>
      <c r="E87" s="372" t="s">
        <v>517</v>
      </c>
      <c r="F87" s="264">
        <f>F86-F84-4.67*1.17*4/27</f>
        <v>1.4142370370370365</v>
      </c>
      <c r="G87" s="74">
        <v>0.1</v>
      </c>
      <c r="H87" s="75">
        <f t="shared" si="27"/>
        <v>1.5556607407407403</v>
      </c>
      <c r="I87" s="76" t="s">
        <v>458</v>
      </c>
      <c r="J87" s="370">
        <f>J$21</f>
        <v>0</v>
      </c>
      <c r="K87" s="364">
        <f t="shared" si="28"/>
        <v>0</v>
      </c>
      <c r="L87" s="365"/>
    </row>
    <row r="88" spans="1:12" s="258" customFormat="1" x14ac:dyDescent="0.2">
      <c r="A88" s="72">
        <f>IF(F88&lt;&gt;"",1+MAX($A$1:A87),"")</f>
        <v>53</v>
      </c>
      <c r="B88" s="83" t="s">
        <v>569</v>
      </c>
      <c r="C88" s="360" t="s">
        <v>591</v>
      </c>
      <c r="D88" s="366"/>
      <c r="E88" s="367" t="s">
        <v>593</v>
      </c>
      <c r="F88" s="264">
        <f>(4/1+1)*2*0.668*1.2</f>
        <v>8.016</v>
      </c>
      <c r="G88" s="74">
        <v>0.1</v>
      </c>
      <c r="H88" s="75">
        <f t="shared" si="27"/>
        <v>8.8176000000000005</v>
      </c>
      <c r="I88" s="76" t="s">
        <v>573</v>
      </c>
      <c r="J88" s="370">
        <f t="shared" ref="J88:J91" si="29">J$22</f>
        <v>0</v>
      </c>
      <c r="K88" s="364">
        <f t="shared" si="28"/>
        <v>0</v>
      </c>
      <c r="L88" s="365"/>
    </row>
    <row r="89" spans="1:12" s="258" customFormat="1" x14ac:dyDescent="0.2">
      <c r="A89" s="72">
        <f>IF(F89&lt;&gt;"",1+MAX($A$1:A88),"")</f>
        <v>54</v>
      </c>
      <c r="B89" s="83" t="s">
        <v>569</v>
      </c>
      <c r="C89" s="360" t="s">
        <v>591</v>
      </c>
      <c r="D89" s="366"/>
      <c r="E89" s="367" t="s">
        <v>594</v>
      </c>
      <c r="F89" s="264">
        <f>4*4*0.668*1.2</f>
        <v>12.8256</v>
      </c>
      <c r="G89" s="74">
        <v>0.1</v>
      </c>
      <c r="H89" s="75">
        <f t="shared" si="27"/>
        <v>14.108160000000002</v>
      </c>
      <c r="I89" s="76" t="s">
        <v>573</v>
      </c>
      <c r="J89" s="370">
        <f t="shared" si="29"/>
        <v>0</v>
      </c>
      <c r="K89" s="364">
        <f t="shared" si="28"/>
        <v>0</v>
      </c>
      <c r="L89" s="365"/>
    </row>
    <row r="90" spans="1:12" s="258" customFormat="1" x14ac:dyDescent="0.2">
      <c r="A90" s="72">
        <f>IF(F90&lt;&gt;"",1+MAX($A$1:A89),"")</f>
        <v>55</v>
      </c>
      <c r="B90" s="83" t="s">
        <v>569</v>
      </c>
      <c r="C90" s="360" t="s">
        <v>591</v>
      </c>
      <c r="D90" s="366"/>
      <c r="E90" s="367" t="s">
        <v>595</v>
      </c>
      <c r="F90" s="264">
        <f>(4/4+1)*3.17*0.668*1.2</f>
        <v>5.0821440000000004</v>
      </c>
      <c r="G90" s="74">
        <v>0.1</v>
      </c>
      <c r="H90" s="75">
        <f t="shared" si="27"/>
        <v>5.5903584000000013</v>
      </c>
      <c r="I90" s="76" t="s">
        <v>573</v>
      </c>
      <c r="J90" s="370">
        <f t="shared" si="29"/>
        <v>0</v>
      </c>
      <c r="K90" s="364">
        <f t="shared" si="28"/>
        <v>0</v>
      </c>
      <c r="L90" s="365"/>
    </row>
    <row r="91" spans="1:12" s="258" customFormat="1" x14ac:dyDescent="0.2">
      <c r="A91" s="72">
        <f>IF(F91&lt;&gt;"",1+MAX($A$1:A90),"")</f>
        <v>56</v>
      </c>
      <c r="B91" s="83" t="s">
        <v>569</v>
      </c>
      <c r="C91" s="360" t="s">
        <v>591</v>
      </c>
      <c r="D91" s="366"/>
      <c r="E91" s="367" t="s">
        <v>596</v>
      </c>
      <c r="F91" s="264">
        <f>(4/4+1)*4*0.668*1.2</f>
        <v>6.4127999999999998</v>
      </c>
      <c r="G91" s="74">
        <v>0.1</v>
      </c>
      <c r="H91" s="75">
        <f t="shared" si="27"/>
        <v>7.0540800000000008</v>
      </c>
      <c r="I91" s="76" t="s">
        <v>573</v>
      </c>
      <c r="J91" s="370">
        <f t="shared" si="29"/>
        <v>0</v>
      </c>
      <c r="K91" s="364">
        <f t="shared" si="28"/>
        <v>0</v>
      </c>
      <c r="L91" s="365"/>
    </row>
    <row r="92" spans="1:12" s="258" customFormat="1" ht="16.5" thickBot="1" x14ac:dyDescent="0.25">
      <c r="A92" s="72" t="str">
        <f>IF(F92&lt;&gt;"",1+MAX($A$1:A91),"")</f>
        <v/>
      </c>
      <c r="B92" s="83"/>
      <c r="C92" s="360"/>
      <c r="D92" s="366"/>
      <c r="E92" s="367"/>
      <c r="F92" s="368"/>
      <c r="G92" s="369"/>
      <c r="H92" s="75"/>
      <c r="I92" s="76"/>
      <c r="J92" s="370"/>
      <c r="K92" s="364"/>
      <c r="L92" s="365"/>
    </row>
    <row r="93" spans="1:12" s="258" customFormat="1" ht="63.75" thickBot="1" x14ac:dyDescent="0.25">
      <c r="A93" s="72" t="str">
        <f>IF(F93&lt;&gt;"",1+MAX($A$1:A92),"")</f>
        <v/>
      </c>
      <c r="B93" s="83"/>
      <c r="C93" s="360"/>
      <c r="D93" s="360"/>
      <c r="E93" s="429" t="s">
        <v>598</v>
      </c>
      <c r="F93" s="394"/>
      <c r="G93" s="369"/>
      <c r="H93" s="75"/>
      <c r="I93" s="76"/>
      <c r="J93" s="370"/>
      <c r="K93" s="364"/>
      <c r="L93" s="365"/>
    </row>
    <row r="94" spans="1:12" s="258" customFormat="1" x14ac:dyDescent="0.2">
      <c r="A94" s="72">
        <f>IF(F94&lt;&gt;"",1+MAX($A$1:A93),"")</f>
        <v>57</v>
      </c>
      <c r="B94" s="83" t="s">
        <v>569</v>
      </c>
      <c r="C94" s="360" t="s">
        <v>591</v>
      </c>
      <c r="D94" s="361"/>
      <c r="E94" s="362" t="s">
        <v>513</v>
      </c>
      <c r="F94" s="264">
        <f>20*2*1/27</f>
        <v>1.4814814814814814</v>
      </c>
      <c r="G94" s="74">
        <v>0.1</v>
      </c>
      <c r="H94" s="75">
        <f t="shared" ref="H94:H100" si="30">F94*(1+G94)</f>
        <v>1.6296296296296298</v>
      </c>
      <c r="I94" s="76" t="s">
        <v>458</v>
      </c>
      <c r="J94" s="370">
        <f>J$18</f>
        <v>0</v>
      </c>
      <c r="K94" s="364">
        <f t="shared" ref="K94:K100" si="31">J94*H94</f>
        <v>0</v>
      </c>
      <c r="L94" s="365"/>
    </row>
    <row r="95" spans="1:12" s="258" customFormat="1" x14ac:dyDescent="0.2">
      <c r="A95" s="72">
        <f>IF(F95&lt;&gt;"",1+MAX($A$1:A94),"")</f>
        <v>58</v>
      </c>
      <c r="B95" s="83" t="s">
        <v>569</v>
      </c>
      <c r="C95" s="360" t="s">
        <v>591</v>
      </c>
      <c r="D95" s="366"/>
      <c r="E95" s="372" t="s">
        <v>592</v>
      </c>
      <c r="F95" s="264">
        <f>20*1*2</f>
        <v>40</v>
      </c>
      <c r="G95" s="74">
        <v>0.1</v>
      </c>
      <c r="H95" s="75">
        <f t="shared" si="30"/>
        <v>44</v>
      </c>
      <c r="I95" s="76" t="s">
        <v>515</v>
      </c>
      <c r="J95" s="370">
        <f>J$75</f>
        <v>0</v>
      </c>
      <c r="K95" s="364">
        <f t="shared" si="31"/>
        <v>0</v>
      </c>
      <c r="L95" s="365"/>
    </row>
    <row r="96" spans="1:12" s="258" customFormat="1" x14ac:dyDescent="0.2">
      <c r="A96" s="72">
        <f>IF(F96&lt;&gt;"",1+MAX($A$1:A95),"")</f>
        <v>59</v>
      </c>
      <c r="B96" s="83" t="s">
        <v>569</v>
      </c>
      <c r="C96" s="360" t="s">
        <v>591</v>
      </c>
      <c r="D96" s="366"/>
      <c r="E96" s="372" t="s">
        <v>516</v>
      </c>
      <c r="F96" s="264">
        <f>20*3*5/27</f>
        <v>11.111111111111111</v>
      </c>
      <c r="G96" s="74">
        <v>0.1</v>
      </c>
      <c r="H96" s="75">
        <f t="shared" si="30"/>
        <v>12.222222222222223</v>
      </c>
      <c r="I96" s="76" t="s">
        <v>458</v>
      </c>
      <c r="J96" s="370">
        <f>J$20</f>
        <v>0</v>
      </c>
      <c r="K96" s="364">
        <f t="shared" si="31"/>
        <v>0</v>
      </c>
      <c r="L96" s="365"/>
    </row>
    <row r="97" spans="1:12" s="258" customFormat="1" x14ac:dyDescent="0.2">
      <c r="A97" s="72">
        <f>IF(F97&lt;&gt;"",1+MAX($A$1:A96),"")</f>
        <v>60</v>
      </c>
      <c r="B97" s="83" t="s">
        <v>569</v>
      </c>
      <c r="C97" s="360" t="s">
        <v>591</v>
      </c>
      <c r="D97" s="366"/>
      <c r="E97" s="372" t="s">
        <v>517</v>
      </c>
      <c r="F97" s="264">
        <f>F96-F94-20*0.67*4/27</f>
        <v>7.6444444444444448</v>
      </c>
      <c r="G97" s="74">
        <v>0.1</v>
      </c>
      <c r="H97" s="75">
        <f t="shared" si="30"/>
        <v>8.4088888888888906</v>
      </c>
      <c r="I97" s="76" t="s">
        <v>458</v>
      </c>
      <c r="J97" s="370">
        <f>J$21</f>
        <v>0</v>
      </c>
      <c r="K97" s="364">
        <f t="shared" si="31"/>
        <v>0</v>
      </c>
      <c r="L97" s="365"/>
    </row>
    <row r="98" spans="1:12" s="258" customFormat="1" x14ac:dyDescent="0.2">
      <c r="A98" s="72">
        <f>IF(F98&lt;&gt;"",1+MAX($A$1:A97),"")</f>
        <v>61</v>
      </c>
      <c r="B98" s="83" t="s">
        <v>569</v>
      </c>
      <c r="C98" s="360" t="s">
        <v>591</v>
      </c>
      <c r="D98" s="366"/>
      <c r="E98" s="367" t="s">
        <v>593</v>
      </c>
      <c r="F98" s="264">
        <f>(20/1+1)*2*0.668*1.2</f>
        <v>33.667200000000001</v>
      </c>
      <c r="G98" s="74">
        <v>0.1</v>
      </c>
      <c r="H98" s="75">
        <f t="shared" si="30"/>
        <v>37.033920000000002</v>
      </c>
      <c r="I98" s="76" t="s">
        <v>573</v>
      </c>
      <c r="J98" s="370">
        <f t="shared" ref="J98:J100" si="32">J$22</f>
        <v>0</v>
      </c>
      <c r="K98" s="364">
        <f t="shared" si="31"/>
        <v>0</v>
      </c>
      <c r="L98" s="365"/>
    </row>
    <row r="99" spans="1:12" s="258" customFormat="1" x14ac:dyDescent="0.2">
      <c r="A99" s="72">
        <f>IF(F99&lt;&gt;"",1+MAX($A$1:A98),"")</f>
        <v>62</v>
      </c>
      <c r="B99" s="83" t="s">
        <v>569</v>
      </c>
      <c r="C99" s="360" t="s">
        <v>591</v>
      </c>
      <c r="D99" s="366"/>
      <c r="E99" s="367" t="s">
        <v>594</v>
      </c>
      <c r="F99" s="264">
        <f>4*20*0.668*1.2</f>
        <v>64.128</v>
      </c>
      <c r="G99" s="74">
        <v>0.1</v>
      </c>
      <c r="H99" s="75">
        <f t="shared" si="30"/>
        <v>70.540800000000004</v>
      </c>
      <c r="I99" s="76" t="s">
        <v>573</v>
      </c>
      <c r="J99" s="370">
        <f t="shared" si="32"/>
        <v>0</v>
      </c>
      <c r="K99" s="364">
        <f t="shared" si="31"/>
        <v>0</v>
      </c>
      <c r="L99" s="365"/>
    </row>
    <row r="100" spans="1:12" s="258" customFormat="1" x14ac:dyDescent="0.2">
      <c r="A100" s="72">
        <f>IF(F100&lt;&gt;"",1+MAX($A$1:A99),"")</f>
        <v>63</v>
      </c>
      <c r="B100" s="83" t="s">
        <v>569</v>
      </c>
      <c r="C100" s="360" t="s">
        <v>591</v>
      </c>
      <c r="D100" s="366"/>
      <c r="E100" s="367" t="s">
        <v>596</v>
      </c>
      <c r="F100" s="264">
        <f>(20/4+1)*5.25*0.668*1.2</f>
        <v>25.250400000000003</v>
      </c>
      <c r="G100" s="74">
        <v>0.1</v>
      </c>
      <c r="H100" s="75">
        <f t="shared" si="30"/>
        <v>27.775440000000007</v>
      </c>
      <c r="I100" s="76" t="s">
        <v>573</v>
      </c>
      <c r="J100" s="370">
        <f t="shared" si="32"/>
        <v>0</v>
      </c>
      <c r="K100" s="364">
        <f t="shared" si="31"/>
        <v>0</v>
      </c>
      <c r="L100" s="365"/>
    </row>
    <row r="101" spans="1:12" s="258" customFormat="1" ht="16.5" thickBot="1" x14ac:dyDescent="0.25">
      <c r="A101" s="72" t="str">
        <f>IF(F101&lt;&gt;"",1+MAX($A$1:A100),"")</f>
        <v/>
      </c>
      <c r="B101" s="83"/>
      <c r="C101" s="360"/>
      <c r="D101" s="366"/>
      <c r="E101" s="367"/>
      <c r="F101" s="368"/>
      <c r="G101" s="369"/>
      <c r="H101" s="75"/>
      <c r="I101" s="76"/>
      <c r="J101" s="370"/>
      <c r="K101" s="364"/>
      <c r="L101" s="365"/>
    </row>
    <row r="102" spans="1:12" s="258" customFormat="1" ht="63.75" thickBot="1" x14ac:dyDescent="0.25">
      <c r="A102" s="72" t="str">
        <f>IF(F102&lt;&gt;"",1+MAX($A$1:A101),"")</f>
        <v/>
      </c>
      <c r="B102" s="83"/>
      <c r="C102" s="360"/>
      <c r="D102" s="360"/>
      <c r="E102" s="429" t="s">
        <v>599</v>
      </c>
      <c r="F102" s="394"/>
      <c r="G102" s="369"/>
      <c r="H102" s="75"/>
      <c r="I102" s="76"/>
      <c r="J102" s="370"/>
      <c r="K102" s="364"/>
      <c r="L102" s="365"/>
    </row>
    <row r="103" spans="1:12" s="258" customFormat="1" x14ac:dyDescent="0.2">
      <c r="A103" s="72">
        <f>IF(F103&lt;&gt;"",1+MAX($A$1:A102),"")</f>
        <v>64</v>
      </c>
      <c r="B103" s="83" t="s">
        <v>569</v>
      </c>
      <c r="C103" s="360" t="s">
        <v>591</v>
      </c>
      <c r="D103" s="361"/>
      <c r="E103" s="362" t="s">
        <v>513</v>
      </c>
      <c r="F103" s="264">
        <f>19*2*1/27</f>
        <v>1.4074074074074074</v>
      </c>
      <c r="G103" s="74">
        <v>0.1</v>
      </c>
      <c r="H103" s="75">
        <f t="shared" ref="H103:H109" si="33">F103*(1+G103)</f>
        <v>1.5481481481481483</v>
      </c>
      <c r="I103" s="76" t="s">
        <v>458</v>
      </c>
      <c r="J103" s="370">
        <f>J$18</f>
        <v>0</v>
      </c>
      <c r="K103" s="364">
        <f t="shared" ref="K103:K109" si="34">J103*H103</f>
        <v>0</v>
      </c>
      <c r="L103" s="365"/>
    </row>
    <row r="104" spans="1:12" s="258" customFormat="1" x14ac:dyDescent="0.2">
      <c r="A104" s="72">
        <f>IF(F104&lt;&gt;"",1+MAX($A$1:A103),"")</f>
        <v>65</v>
      </c>
      <c r="B104" s="83" t="s">
        <v>569</v>
      </c>
      <c r="C104" s="360" t="s">
        <v>591</v>
      </c>
      <c r="D104" s="366"/>
      <c r="E104" s="372" t="s">
        <v>592</v>
      </c>
      <c r="F104" s="264">
        <f>19*1*2</f>
        <v>38</v>
      </c>
      <c r="G104" s="74">
        <v>0.1</v>
      </c>
      <c r="H104" s="75">
        <f t="shared" si="33"/>
        <v>41.800000000000004</v>
      </c>
      <c r="I104" s="76" t="s">
        <v>515</v>
      </c>
      <c r="J104" s="370">
        <f>J$75</f>
        <v>0</v>
      </c>
      <c r="K104" s="364">
        <f t="shared" si="34"/>
        <v>0</v>
      </c>
      <c r="L104" s="365"/>
    </row>
    <row r="105" spans="1:12" s="258" customFormat="1" x14ac:dyDescent="0.2">
      <c r="A105" s="72">
        <f>IF(F105&lt;&gt;"",1+MAX($A$1:A104),"")</f>
        <v>66</v>
      </c>
      <c r="B105" s="83" t="s">
        <v>569</v>
      </c>
      <c r="C105" s="360" t="s">
        <v>591</v>
      </c>
      <c r="D105" s="366"/>
      <c r="E105" s="372" t="s">
        <v>516</v>
      </c>
      <c r="F105" s="264">
        <f>19*3*5.67/27</f>
        <v>11.97</v>
      </c>
      <c r="G105" s="74">
        <v>0.1</v>
      </c>
      <c r="H105" s="75">
        <f t="shared" si="33"/>
        <v>13.167000000000002</v>
      </c>
      <c r="I105" s="76" t="s">
        <v>458</v>
      </c>
      <c r="J105" s="370">
        <f>J$20</f>
        <v>0</v>
      </c>
      <c r="K105" s="364">
        <f t="shared" si="34"/>
        <v>0</v>
      </c>
      <c r="L105" s="365"/>
    </row>
    <row r="106" spans="1:12" s="258" customFormat="1" x14ac:dyDescent="0.2">
      <c r="A106" s="72">
        <f>IF(F106&lt;&gt;"",1+MAX($A$1:A105),"")</f>
        <v>67</v>
      </c>
      <c r="B106" s="83" t="s">
        <v>569</v>
      </c>
      <c r="C106" s="360" t="s">
        <v>591</v>
      </c>
      <c r="D106" s="366"/>
      <c r="E106" s="372" t="s">
        <v>517</v>
      </c>
      <c r="F106" s="264">
        <f>F105-F103-19*0.67*4.67/27</f>
        <v>8.3607740740740759</v>
      </c>
      <c r="G106" s="74">
        <v>0.1</v>
      </c>
      <c r="H106" s="75">
        <f t="shared" si="33"/>
        <v>9.1968514814814846</v>
      </c>
      <c r="I106" s="76" t="s">
        <v>458</v>
      </c>
      <c r="J106" s="370">
        <f>J$21</f>
        <v>0</v>
      </c>
      <c r="K106" s="364">
        <f t="shared" si="34"/>
        <v>0</v>
      </c>
      <c r="L106" s="365"/>
    </row>
    <row r="107" spans="1:12" s="258" customFormat="1" x14ac:dyDescent="0.2">
      <c r="A107" s="72">
        <f>IF(F107&lt;&gt;"",1+MAX($A$1:A106),"")</f>
        <v>68</v>
      </c>
      <c r="B107" s="83" t="s">
        <v>569</v>
      </c>
      <c r="C107" s="360" t="s">
        <v>591</v>
      </c>
      <c r="D107" s="366"/>
      <c r="E107" s="367" t="s">
        <v>593</v>
      </c>
      <c r="F107" s="264">
        <f>(19/1+1)*2*0.668*1.2</f>
        <v>32.064</v>
      </c>
      <c r="G107" s="74">
        <v>0.1</v>
      </c>
      <c r="H107" s="75">
        <f t="shared" si="33"/>
        <v>35.270400000000002</v>
      </c>
      <c r="I107" s="76" t="s">
        <v>573</v>
      </c>
      <c r="J107" s="370">
        <f t="shared" ref="J107:J109" si="35">J$22</f>
        <v>0</v>
      </c>
      <c r="K107" s="364">
        <f t="shared" si="34"/>
        <v>0</v>
      </c>
      <c r="L107" s="365"/>
    </row>
    <row r="108" spans="1:12" s="258" customFormat="1" x14ac:dyDescent="0.2">
      <c r="A108" s="72">
        <f>IF(F108&lt;&gt;"",1+MAX($A$1:A107),"")</f>
        <v>69</v>
      </c>
      <c r="B108" s="83" t="s">
        <v>569</v>
      </c>
      <c r="C108" s="360" t="s">
        <v>591</v>
      </c>
      <c r="D108" s="366"/>
      <c r="E108" s="367" t="s">
        <v>594</v>
      </c>
      <c r="F108" s="264">
        <f>4*19*0.668*1.2</f>
        <v>60.921599999999998</v>
      </c>
      <c r="G108" s="74">
        <v>0.1</v>
      </c>
      <c r="H108" s="75">
        <f t="shared" si="33"/>
        <v>67.013760000000005</v>
      </c>
      <c r="I108" s="76" t="s">
        <v>573</v>
      </c>
      <c r="J108" s="370">
        <f t="shared" si="35"/>
        <v>0</v>
      </c>
      <c r="K108" s="364">
        <f t="shared" si="34"/>
        <v>0</v>
      </c>
      <c r="L108" s="365"/>
    </row>
    <row r="109" spans="1:12" s="258" customFormat="1" x14ac:dyDescent="0.2">
      <c r="A109" s="72">
        <f>IF(F109&lt;&gt;"",1+MAX($A$1:A108),"")</f>
        <v>70</v>
      </c>
      <c r="B109" s="83" t="s">
        <v>569</v>
      </c>
      <c r="C109" s="360" t="s">
        <v>591</v>
      </c>
      <c r="D109" s="366"/>
      <c r="E109" s="367" t="s">
        <v>596</v>
      </c>
      <c r="F109" s="264">
        <f>(19/4+1)*6*0.668*1.2</f>
        <v>27.655200000000004</v>
      </c>
      <c r="G109" s="74">
        <v>0.1</v>
      </c>
      <c r="H109" s="75">
        <f t="shared" si="33"/>
        <v>30.420720000000006</v>
      </c>
      <c r="I109" s="76" t="s">
        <v>573</v>
      </c>
      <c r="J109" s="370">
        <f t="shared" si="35"/>
        <v>0</v>
      </c>
      <c r="K109" s="364">
        <f t="shared" si="34"/>
        <v>0</v>
      </c>
      <c r="L109" s="365"/>
    </row>
    <row r="110" spans="1:12" s="258" customFormat="1" ht="16.5" thickBot="1" x14ac:dyDescent="0.25">
      <c r="A110" s="72" t="str">
        <f>IF(F110&lt;&gt;"",1+MAX($A$1:A109),"")</f>
        <v/>
      </c>
      <c r="B110" s="83"/>
      <c r="C110" s="360"/>
      <c r="D110" s="366"/>
      <c r="E110" s="367"/>
      <c r="F110" s="368"/>
      <c r="G110" s="369"/>
      <c r="H110" s="75"/>
      <c r="I110" s="76"/>
      <c r="J110" s="370"/>
      <c r="K110" s="364"/>
      <c r="L110" s="365"/>
    </row>
    <row r="111" spans="1:12" s="258" customFormat="1" ht="63.75" thickBot="1" x14ac:dyDescent="0.25">
      <c r="A111" s="72" t="str">
        <f>IF(F111&lt;&gt;"",1+MAX($A$1:A110),"")</f>
        <v/>
      </c>
      <c r="B111" s="83"/>
      <c r="C111" s="360"/>
      <c r="D111" s="366"/>
      <c r="E111" s="429" t="s">
        <v>600</v>
      </c>
      <c r="F111" s="394"/>
      <c r="G111" s="369"/>
      <c r="H111" s="75"/>
      <c r="I111" s="76"/>
      <c r="J111" s="370"/>
      <c r="K111" s="364"/>
      <c r="L111" s="365"/>
    </row>
    <row r="112" spans="1:12" s="258" customFormat="1" x14ac:dyDescent="0.2">
      <c r="A112" s="72">
        <f>IF(F112&lt;&gt;"",1+MAX($A$1:A111),"")</f>
        <v>71</v>
      </c>
      <c r="B112" s="83" t="s">
        <v>569</v>
      </c>
      <c r="C112" s="360" t="s">
        <v>591</v>
      </c>
      <c r="D112" s="361"/>
      <c r="E112" s="362" t="s">
        <v>513</v>
      </c>
      <c r="F112" s="264">
        <f>58*2*1/27</f>
        <v>4.2962962962962967</v>
      </c>
      <c r="G112" s="74">
        <v>0.1</v>
      </c>
      <c r="H112" s="75">
        <f t="shared" ref="H112:H118" si="36">F112*(1+G112)</f>
        <v>4.7259259259259272</v>
      </c>
      <c r="I112" s="76" t="s">
        <v>458</v>
      </c>
      <c r="J112" s="370">
        <f>J$18</f>
        <v>0</v>
      </c>
      <c r="K112" s="364">
        <f t="shared" ref="K112:K118" si="37">J112*H112</f>
        <v>0</v>
      </c>
      <c r="L112" s="365"/>
    </row>
    <row r="113" spans="1:12" s="258" customFormat="1" x14ac:dyDescent="0.2">
      <c r="A113" s="72">
        <f>IF(F113&lt;&gt;"",1+MAX($A$1:A112),"")</f>
        <v>72</v>
      </c>
      <c r="B113" s="83" t="s">
        <v>569</v>
      </c>
      <c r="C113" s="360" t="s">
        <v>591</v>
      </c>
      <c r="D113" s="366"/>
      <c r="E113" s="372" t="s">
        <v>592</v>
      </c>
      <c r="F113" s="264">
        <f>58*1*2</f>
        <v>116</v>
      </c>
      <c r="G113" s="74">
        <v>0.1</v>
      </c>
      <c r="H113" s="75">
        <f t="shared" si="36"/>
        <v>127.60000000000001</v>
      </c>
      <c r="I113" s="76" t="s">
        <v>515</v>
      </c>
      <c r="J113" s="370">
        <f>J$75</f>
        <v>0</v>
      </c>
      <c r="K113" s="364">
        <f t="shared" si="37"/>
        <v>0</v>
      </c>
      <c r="L113" s="365"/>
    </row>
    <row r="114" spans="1:12" s="258" customFormat="1" x14ac:dyDescent="0.2">
      <c r="A114" s="72">
        <f>IF(F114&lt;&gt;"",1+MAX($A$1:A113),"")</f>
        <v>73</v>
      </c>
      <c r="B114" s="83" t="s">
        <v>569</v>
      </c>
      <c r="C114" s="360" t="s">
        <v>591</v>
      </c>
      <c r="D114" s="366"/>
      <c r="E114" s="372" t="s">
        <v>516</v>
      </c>
      <c r="F114" s="264">
        <f>58*3*6.34/27</f>
        <v>40.857777777777784</v>
      </c>
      <c r="G114" s="74">
        <v>0.1</v>
      </c>
      <c r="H114" s="75">
        <f t="shared" si="36"/>
        <v>44.943555555555569</v>
      </c>
      <c r="I114" s="76" t="s">
        <v>458</v>
      </c>
      <c r="J114" s="370">
        <f>J$20</f>
        <v>0</v>
      </c>
      <c r="K114" s="364">
        <f t="shared" si="37"/>
        <v>0</v>
      </c>
      <c r="L114" s="365"/>
    </row>
    <row r="115" spans="1:12" s="258" customFormat="1" x14ac:dyDescent="0.2">
      <c r="A115" s="72">
        <f>IF(F115&lt;&gt;"",1+MAX($A$1:A114),"")</f>
        <v>74</v>
      </c>
      <c r="B115" s="83" t="s">
        <v>569</v>
      </c>
      <c r="C115" s="360" t="s">
        <v>591</v>
      </c>
      <c r="D115" s="366"/>
      <c r="E115" s="372" t="s">
        <v>517</v>
      </c>
      <c r="F115" s="264">
        <f>F114-F112-58*0.67*5.34/27</f>
        <v>28.875837037037044</v>
      </c>
      <c r="G115" s="74">
        <v>0.1</v>
      </c>
      <c r="H115" s="75">
        <f t="shared" si="36"/>
        <v>31.763420740740752</v>
      </c>
      <c r="I115" s="76" t="s">
        <v>458</v>
      </c>
      <c r="J115" s="370">
        <f>J$21</f>
        <v>0</v>
      </c>
      <c r="K115" s="364">
        <f t="shared" si="37"/>
        <v>0</v>
      </c>
      <c r="L115" s="365"/>
    </row>
    <row r="116" spans="1:12" s="258" customFormat="1" x14ac:dyDescent="0.2">
      <c r="A116" s="72">
        <f>IF(F116&lt;&gt;"",1+MAX($A$1:A115),"")</f>
        <v>75</v>
      </c>
      <c r="B116" s="83" t="s">
        <v>569</v>
      </c>
      <c r="C116" s="360" t="s">
        <v>591</v>
      </c>
      <c r="D116" s="366"/>
      <c r="E116" s="367" t="s">
        <v>593</v>
      </c>
      <c r="F116" s="264">
        <f>(58/1+1)*2*0.668*1.2</f>
        <v>94.588799999999992</v>
      </c>
      <c r="G116" s="74">
        <v>0.1</v>
      </c>
      <c r="H116" s="75">
        <f t="shared" si="36"/>
        <v>104.04768</v>
      </c>
      <c r="I116" s="76" t="s">
        <v>573</v>
      </c>
      <c r="J116" s="370">
        <f t="shared" ref="J116:J118" si="38">J$22</f>
        <v>0</v>
      </c>
      <c r="K116" s="364">
        <f t="shared" si="37"/>
        <v>0</v>
      </c>
      <c r="L116" s="365"/>
    </row>
    <row r="117" spans="1:12" s="258" customFormat="1" x14ac:dyDescent="0.2">
      <c r="A117" s="72">
        <f>IF(F117&lt;&gt;"",1+MAX($A$1:A116),"")</f>
        <v>76</v>
      </c>
      <c r="B117" s="83" t="s">
        <v>569</v>
      </c>
      <c r="C117" s="360" t="s">
        <v>591</v>
      </c>
      <c r="D117" s="366"/>
      <c r="E117" s="367" t="s">
        <v>594</v>
      </c>
      <c r="F117" s="264">
        <f>4*58*0.668*1.2</f>
        <v>185.97119999999998</v>
      </c>
      <c r="G117" s="74">
        <v>0.1</v>
      </c>
      <c r="H117" s="75">
        <f t="shared" si="36"/>
        <v>204.56832</v>
      </c>
      <c r="I117" s="76" t="s">
        <v>573</v>
      </c>
      <c r="J117" s="370">
        <f t="shared" si="38"/>
        <v>0</v>
      </c>
      <c r="K117" s="364">
        <f t="shared" si="37"/>
        <v>0</v>
      </c>
      <c r="L117" s="365"/>
    </row>
    <row r="118" spans="1:12" s="258" customFormat="1" x14ac:dyDescent="0.2">
      <c r="A118" s="72">
        <f>IF(F118&lt;&gt;"",1+MAX($A$1:A117),"")</f>
        <v>77</v>
      </c>
      <c r="B118" s="83" t="s">
        <v>569</v>
      </c>
      <c r="C118" s="360" t="s">
        <v>591</v>
      </c>
      <c r="D118" s="366"/>
      <c r="E118" s="367" t="s">
        <v>596</v>
      </c>
      <c r="F118" s="264">
        <f>(58/4+1)*6.5*0.668*1.2</f>
        <v>80.761200000000002</v>
      </c>
      <c r="G118" s="74">
        <v>0.1</v>
      </c>
      <c r="H118" s="75">
        <f t="shared" si="36"/>
        <v>88.837320000000005</v>
      </c>
      <c r="I118" s="76" t="s">
        <v>573</v>
      </c>
      <c r="J118" s="370">
        <f t="shared" si="38"/>
        <v>0</v>
      </c>
      <c r="K118" s="364">
        <f t="shared" si="37"/>
        <v>0</v>
      </c>
      <c r="L118" s="365"/>
    </row>
    <row r="119" spans="1:12" s="258" customFormat="1" ht="16.5" thickBot="1" x14ac:dyDescent="0.25">
      <c r="A119" s="72" t="str">
        <f>IF(F119&lt;&gt;"",1+MAX($A$1:A118),"")</f>
        <v/>
      </c>
      <c r="B119" s="83"/>
      <c r="C119" s="360"/>
      <c r="D119" s="366"/>
      <c r="E119" s="367"/>
      <c r="F119" s="368"/>
      <c r="G119" s="369"/>
      <c r="H119" s="75"/>
      <c r="I119" s="76"/>
      <c r="J119" s="370"/>
      <c r="K119" s="364"/>
      <c r="L119" s="365"/>
    </row>
    <row r="120" spans="1:12" s="258" customFormat="1" ht="63.75" thickBot="1" x14ac:dyDescent="0.25">
      <c r="A120" s="72" t="str">
        <f>IF(F120&lt;&gt;"",1+MAX($A$1:A119),"")</f>
        <v/>
      </c>
      <c r="B120" s="83"/>
      <c r="C120" s="360"/>
      <c r="D120" s="366"/>
      <c r="E120" s="429" t="s">
        <v>601</v>
      </c>
      <c r="F120" s="394"/>
      <c r="G120" s="369"/>
      <c r="H120" s="75"/>
      <c r="I120" s="76"/>
      <c r="J120" s="370"/>
      <c r="K120" s="364"/>
      <c r="L120" s="365"/>
    </row>
    <row r="121" spans="1:12" s="258" customFormat="1" x14ac:dyDescent="0.2">
      <c r="A121" s="72">
        <f>IF(F121&lt;&gt;"",1+MAX($A$1:A120),"")</f>
        <v>78</v>
      </c>
      <c r="B121" s="83" t="s">
        <v>569</v>
      </c>
      <c r="C121" s="360" t="s">
        <v>591</v>
      </c>
      <c r="D121" s="361"/>
      <c r="E121" s="362" t="s">
        <v>513</v>
      </c>
      <c r="F121" s="264">
        <f>40*2*1/27</f>
        <v>2.9629629629629628</v>
      </c>
      <c r="G121" s="74">
        <v>0.1</v>
      </c>
      <c r="H121" s="75">
        <f t="shared" ref="H121:H128" si="39">F121*(1+G121)</f>
        <v>3.2592592592592595</v>
      </c>
      <c r="I121" s="76" t="s">
        <v>458</v>
      </c>
      <c r="J121" s="370">
        <f>J$18</f>
        <v>0</v>
      </c>
      <c r="K121" s="364">
        <f t="shared" ref="K121:K128" si="40">J121*H121</f>
        <v>0</v>
      </c>
      <c r="L121" s="365"/>
    </row>
    <row r="122" spans="1:12" s="258" customFormat="1" x14ac:dyDescent="0.2">
      <c r="A122" s="72">
        <f>IF(F122&lt;&gt;"",1+MAX($A$1:A121),"")</f>
        <v>79</v>
      </c>
      <c r="B122" s="83" t="s">
        <v>569</v>
      </c>
      <c r="C122" s="360" t="s">
        <v>591</v>
      </c>
      <c r="D122" s="366"/>
      <c r="E122" s="372" t="s">
        <v>592</v>
      </c>
      <c r="F122" s="264">
        <f>40*1*2</f>
        <v>80</v>
      </c>
      <c r="G122" s="74">
        <v>0.1</v>
      </c>
      <c r="H122" s="75">
        <f t="shared" si="39"/>
        <v>88</v>
      </c>
      <c r="I122" s="76" t="s">
        <v>515</v>
      </c>
      <c r="J122" s="370">
        <f>J$75</f>
        <v>0</v>
      </c>
      <c r="K122" s="364">
        <f t="shared" si="40"/>
        <v>0</v>
      </c>
      <c r="L122" s="365"/>
    </row>
    <row r="123" spans="1:12" s="258" customFormat="1" x14ac:dyDescent="0.2">
      <c r="A123" s="72">
        <f>IF(F123&lt;&gt;"",1+MAX($A$1:A122),"")</f>
        <v>80</v>
      </c>
      <c r="B123" s="83" t="s">
        <v>569</v>
      </c>
      <c r="C123" s="360" t="s">
        <v>591</v>
      </c>
      <c r="D123" s="366"/>
      <c r="E123" s="372" t="s">
        <v>516</v>
      </c>
      <c r="F123" s="264">
        <f>40*3*7/27</f>
        <v>31.111111111111111</v>
      </c>
      <c r="G123" s="74">
        <v>0.1</v>
      </c>
      <c r="H123" s="75">
        <f t="shared" si="39"/>
        <v>34.222222222222221</v>
      </c>
      <c r="I123" s="76" t="s">
        <v>458</v>
      </c>
      <c r="J123" s="370">
        <f>J$20</f>
        <v>0</v>
      </c>
      <c r="K123" s="364">
        <f t="shared" si="40"/>
        <v>0</v>
      </c>
      <c r="L123" s="365"/>
    </row>
    <row r="124" spans="1:12" s="258" customFormat="1" x14ac:dyDescent="0.2">
      <c r="A124" s="72">
        <f>IF(F124&lt;&gt;"",1+MAX($A$1:A123),"")</f>
        <v>81</v>
      </c>
      <c r="B124" s="83" t="s">
        <v>569</v>
      </c>
      <c r="C124" s="360" t="s">
        <v>591</v>
      </c>
      <c r="D124" s="366"/>
      <c r="E124" s="372" t="s">
        <v>517</v>
      </c>
      <c r="F124" s="264">
        <f>F123-F121-40*0.67*6/27</f>
        <v>22.192592592592593</v>
      </c>
      <c r="G124" s="74">
        <v>0.1</v>
      </c>
      <c r="H124" s="75">
        <f t="shared" si="39"/>
        <v>24.411851851851853</v>
      </c>
      <c r="I124" s="76" t="s">
        <v>458</v>
      </c>
      <c r="J124" s="370">
        <f>J$21</f>
        <v>0</v>
      </c>
      <c r="K124" s="364">
        <f t="shared" si="40"/>
        <v>0</v>
      </c>
      <c r="L124" s="365"/>
    </row>
    <row r="125" spans="1:12" s="258" customFormat="1" x14ac:dyDescent="0.2">
      <c r="A125" s="72">
        <f>IF(F125&lt;&gt;"",1+MAX($A$1:A124),"")</f>
        <v>82</v>
      </c>
      <c r="B125" s="83" t="s">
        <v>569</v>
      </c>
      <c r="C125" s="360" t="s">
        <v>591</v>
      </c>
      <c r="D125" s="366"/>
      <c r="E125" s="367" t="s">
        <v>593</v>
      </c>
      <c r="F125" s="264">
        <f>(40/1+1)*2*0.668*1.2</f>
        <v>65.731200000000001</v>
      </c>
      <c r="G125" s="74">
        <v>0.1</v>
      </c>
      <c r="H125" s="75">
        <f t="shared" si="39"/>
        <v>72.304320000000004</v>
      </c>
      <c r="I125" s="76" t="s">
        <v>573</v>
      </c>
      <c r="J125" s="370">
        <f t="shared" ref="J125:J127" si="41">J$22</f>
        <v>0</v>
      </c>
      <c r="K125" s="364">
        <f t="shared" si="40"/>
        <v>0</v>
      </c>
      <c r="L125" s="365"/>
    </row>
    <row r="126" spans="1:12" s="258" customFormat="1" x14ac:dyDescent="0.2">
      <c r="A126" s="72">
        <f>IF(F126&lt;&gt;"",1+MAX($A$1:A125),"")</f>
        <v>83</v>
      </c>
      <c r="B126" s="83" t="s">
        <v>569</v>
      </c>
      <c r="C126" s="360" t="s">
        <v>591</v>
      </c>
      <c r="D126" s="366"/>
      <c r="E126" s="367" t="s">
        <v>594</v>
      </c>
      <c r="F126" s="264">
        <f>4*40*0.668*1.2</f>
        <v>128.256</v>
      </c>
      <c r="G126" s="74">
        <v>0.1</v>
      </c>
      <c r="H126" s="75">
        <f t="shared" si="39"/>
        <v>141.08160000000001</v>
      </c>
      <c r="I126" s="76" t="s">
        <v>573</v>
      </c>
      <c r="J126" s="370">
        <f t="shared" si="41"/>
        <v>0</v>
      </c>
      <c r="K126" s="364">
        <f t="shared" si="40"/>
        <v>0</v>
      </c>
      <c r="L126" s="365"/>
    </row>
    <row r="127" spans="1:12" s="258" customFormat="1" x14ac:dyDescent="0.2">
      <c r="A127" s="72">
        <f>IF(F127&lt;&gt;"",1+MAX($A$1:A126),"")</f>
        <v>84</v>
      </c>
      <c r="B127" s="83" t="s">
        <v>569</v>
      </c>
      <c r="C127" s="360" t="s">
        <v>591</v>
      </c>
      <c r="D127" s="366"/>
      <c r="E127" s="367" t="s">
        <v>596</v>
      </c>
      <c r="F127" s="264">
        <f>(40/4+1)*8.25*0.668*1.2</f>
        <v>72.745199999999997</v>
      </c>
      <c r="G127" s="74">
        <v>0.1</v>
      </c>
      <c r="H127" s="75">
        <f t="shared" si="39"/>
        <v>80.019720000000007</v>
      </c>
      <c r="I127" s="76" t="s">
        <v>573</v>
      </c>
      <c r="J127" s="370">
        <f t="shared" si="41"/>
        <v>0</v>
      </c>
      <c r="K127" s="364">
        <f t="shared" si="40"/>
        <v>0</v>
      </c>
      <c r="L127" s="365"/>
    </row>
    <row r="128" spans="1:12" s="258" customFormat="1" x14ac:dyDescent="0.2">
      <c r="A128" s="72">
        <f>IF(F128&lt;&gt;"",1+MAX($A$1:A127),"")</f>
        <v>85</v>
      </c>
      <c r="B128" s="83" t="s">
        <v>569</v>
      </c>
      <c r="C128" s="360" t="s">
        <v>591</v>
      </c>
      <c r="D128" s="366"/>
      <c r="E128" s="372" t="s">
        <v>602</v>
      </c>
      <c r="F128" s="264">
        <f>40*7*2</f>
        <v>560</v>
      </c>
      <c r="G128" s="74">
        <v>0.1</v>
      </c>
      <c r="H128" s="75">
        <f t="shared" si="39"/>
        <v>616</v>
      </c>
      <c r="I128" s="76" t="s">
        <v>16</v>
      </c>
      <c r="J128" s="370">
        <f>J$26</f>
        <v>0</v>
      </c>
      <c r="K128" s="364">
        <f t="shared" si="40"/>
        <v>0</v>
      </c>
      <c r="L128" s="365"/>
    </row>
    <row r="129" spans="1:12" s="258" customFormat="1" ht="16.5" thickBot="1" x14ac:dyDescent="0.25">
      <c r="A129" s="72" t="str">
        <f>IF(F129&lt;&gt;"",1+MAX($A$1:A128),"")</f>
        <v/>
      </c>
      <c r="B129" s="83"/>
      <c r="C129" s="360"/>
      <c r="D129" s="366"/>
      <c r="E129" s="367"/>
      <c r="F129" s="368"/>
      <c r="G129" s="369"/>
      <c r="H129" s="75"/>
      <c r="I129" s="76"/>
      <c r="J129" s="370"/>
      <c r="K129" s="364"/>
      <c r="L129" s="365"/>
    </row>
    <row r="130" spans="1:12" s="258" customFormat="1" ht="63.75" thickBot="1" x14ac:dyDescent="0.25">
      <c r="A130" s="72" t="str">
        <f>IF(F130&lt;&gt;"",1+MAX($A$1:A129),"")</f>
        <v/>
      </c>
      <c r="B130" s="83"/>
      <c r="C130" s="360"/>
      <c r="D130" s="360"/>
      <c r="E130" s="429" t="s">
        <v>603</v>
      </c>
      <c r="F130" s="394"/>
      <c r="G130" s="369"/>
      <c r="H130" s="75"/>
      <c r="I130" s="76"/>
      <c r="J130" s="370"/>
      <c r="K130" s="364"/>
      <c r="L130" s="365"/>
    </row>
    <row r="131" spans="1:12" s="258" customFormat="1" x14ac:dyDescent="0.2">
      <c r="A131" s="72">
        <f>IF(F131&lt;&gt;"",1+MAX($A$1:A130),"")</f>
        <v>86</v>
      </c>
      <c r="B131" s="83" t="s">
        <v>569</v>
      </c>
      <c r="C131" s="360" t="s">
        <v>591</v>
      </c>
      <c r="D131" s="361"/>
      <c r="E131" s="362" t="s">
        <v>513</v>
      </c>
      <c r="F131" s="264">
        <f>39*2*1/27</f>
        <v>2.8888888888888888</v>
      </c>
      <c r="G131" s="74">
        <v>0.1</v>
      </c>
      <c r="H131" s="75">
        <f t="shared" ref="H131:H138" si="42">F131*(1+G131)</f>
        <v>3.177777777777778</v>
      </c>
      <c r="I131" s="76" t="s">
        <v>458</v>
      </c>
      <c r="J131" s="370">
        <f>J$18</f>
        <v>0</v>
      </c>
      <c r="K131" s="364">
        <f t="shared" ref="K131:K138" si="43">J131*H131</f>
        <v>0</v>
      </c>
      <c r="L131" s="365"/>
    </row>
    <row r="132" spans="1:12" s="258" customFormat="1" x14ac:dyDescent="0.2">
      <c r="A132" s="72">
        <f>IF(F132&lt;&gt;"",1+MAX($A$1:A131),"")</f>
        <v>87</v>
      </c>
      <c r="B132" s="83" t="s">
        <v>569</v>
      </c>
      <c r="C132" s="360" t="s">
        <v>591</v>
      </c>
      <c r="D132" s="366"/>
      <c r="E132" s="372" t="s">
        <v>592</v>
      </c>
      <c r="F132" s="264">
        <f>39*1*2</f>
        <v>78</v>
      </c>
      <c r="G132" s="74">
        <v>0.1</v>
      </c>
      <c r="H132" s="75">
        <f t="shared" si="42"/>
        <v>85.800000000000011</v>
      </c>
      <c r="I132" s="76" t="s">
        <v>515</v>
      </c>
      <c r="J132" s="370">
        <f>J$75</f>
        <v>0</v>
      </c>
      <c r="K132" s="364">
        <f t="shared" si="43"/>
        <v>0</v>
      </c>
      <c r="L132" s="365"/>
    </row>
    <row r="133" spans="1:12" s="258" customFormat="1" x14ac:dyDescent="0.2">
      <c r="A133" s="72">
        <f>IF(F133&lt;&gt;"",1+MAX($A$1:A132),"")</f>
        <v>88</v>
      </c>
      <c r="B133" s="83" t="s">
        <v>569</v>
      </c>
      <c r="C133" s="360" t="s">
        <v>591</v>
      </c>
      <c r="D133" s="366"/>
      <c r="E133" s="372" t="s">
        <v>516</v>
      </c>
      <c r="F133" s="264">
        <f>39*3*7.67/27</f>
        <v>33.236666666666665</v>
      </c>
      <c r="G133" s="74">
        <v>0.1</v>
      </c>
      <c r="H133" s="75">
        <f t="shared" si="42"/>
        <v>36.560333333333332</v>
      </c>
      <c r="I133" s="76" t="s">
        <v>458</v>
      </c>
      <c r="J133" s="370">
        <f>J$20</f>
        <v>0</v>
      </c>
      <c r="K133" s="364">
        <f t="shared" si="43"/>
        <v>0</v>
      </c>
      <c r="L133" s="365"/>
    </row>
    <row r="134" spans="1:12" s="258" customFormat="1" x14ac:dyDescent="0.2">
      <c r="A134" s="72">
        <f>IF(F134&lt;&gt;"",1+MAX($A$1:A133),"")</f>
        <v>89</v>
      </c>
      <c r="B134" s="83" t="s">
        <v>569</v>
      </c>
      <c r="C134" s="360" t="s">
        <v>591</v>
      </c>
      <c r="D134" s="366"/>
      <c r="E134" s="372" t="s">
        <v>517</v>
      </c>
      <c r="F134" s="264">
        <f>F133-F131-39*0.67*6.67/27</f>
        <v>23.892699999999998</v>
      </c>
      <c r="G134" s="74">
        <v>0.1</v>
      </c>
      <c r="H134" s="75">
        <f t="shared" si="42"/>
        <v>26.281970000000001</v>
      </c>
      <c r="I134" s="76" t="s">
        <v>458</v>
      </c>
      <c r="J134" s="370">
        <f>J$21</f>
        <v>0</v>
      </c>
      <c r="K134" s="364">
        <f t="shared" si="43"/>
        <v>0</v>
      </c>
      <c r="L134" s="365"/>
    </row>
    <row r="135" spans="1:12" s="258" customFormat="1" x14ac:dyDescent="0.2">
      <c r="A135" s="72">
        <f>IF(F135&lt;&gt;"",1+MAX($A$1:A134),"")</f>
        <v>90</v>
      </c>
      <c r="B135" s="83" t="s">
        <v>569</v>
      </c>
      <c r="C135" s="360" t="s">
        <v>591</v>
      </c>
      <c r="D135" s="366"/>
      <c r="E135" s="367" t="s">
        <v>593</v>
      </c>
      <c r="F135" s="264">
        <f>(39/1+1)*2*0.668*1.2</f>
        <v>64.128</v>
      </c>
      <c r="G135" s="74">
        <v>0.1</v>
      </c>
      <c r="H135" s="75">
        <f t="shared" si="42"/>
        <v>70.540800000000004</v>
      </c>
      <c r="I135" s="76" t="s">
        <v>573</v>
      </c>
      <c r="J135" s="370">
        <f t="shared" ref="J135:J137" si="44">J$22</f>
        <v>0</v>
      </c>
      <c r="K135" s="364">
        <f t="shared" si="43"/>
        <v>0</v>
      </c>
      <c r="L135" s="365"/>
    </row>
    <row r="136" spans="1:12" s="258" customFormat="1" x14ac:dyDescent="0.2">
      <c r="A136" s="72">
        <f>IF(F136&lt;&gt;"",1+MAX($A$1:A135),"")</f>
        <v>91</v>
      </c>
      <c r="B136" s="83" t="s">
        <v>569</v>
      </c>
      <c r="C136" s="360" t="s">
        <v>591</v>
      </c>
      <c r="D136" s="366"/>
      <c r="E136" s="367" t="s">
        <v>594</v>
      </c>
      <c r="F136" s="264">
        <f>4*39*0.668*1.2</f>
        <v>125.04960000000001</v>
      </c>
      <c r="G136" s="74">
        <v>0.1</v>
      </c>
      <c r="H136" s="75">
        <f t="shared" si="42"/>
        <v>137.55456000000004</v>
      </c>
      <c r="I136" s="76" t="s">
        <v>573</v>
      </c>
      <c r="J136" s="370">
        <f t="shared" si="44"/>
        <v>0</v>
      </c>
      <c r="K136" s="364">
        <f t="shared" si="43"/>
        <v>0</v>
      </c>
      <c r="L136" s="365"/>
    </row>
    <row r="137" spans="1:12" s="258" customFormat="1" x14ac:dyDescent="0.2">
      <c r="A137" s="72">
        <f>IF(F137&lt;&gt;"",1+MAX($A$1:A136),"")</f>
        <v>92</v>
      </c>
      <c r="B137" s="83" t="s">
        <v>569</v>
      </c>
      <c r="C137" s="360" t="s">
        <v>591</v>
      </c>
      <c r="D137" s="366"/>
      <c r="E137" s="367" t="s">
        <v>596</v>
      </c>
      <c r="F137" s="264">
        <f>(39/4+1)*9*0.668*1.2</f>
        <v>77.5548</v>
      </c>
      <c r="G137" s="74">
        <v>0.1</v>
      </c>
      <c r="H137" s="75">
        <f t="shared" si="42"/>
        <v>85.310280000000006</v>
      </c>
      <c r="I137" s="76" t="s">
        <v>573</v>
      </c>
      <c r="J137" s="370">
        <f t="shared" si="44"/>
        <v>0</v>
      </c>
      <c r="K137" s="364">
        <f t="shared" si="43"/>
        <v>0</v>
      </c>
      <c r="L137" s="365"/>
    </row>
    <row r="138" spans="1:12" s="258" customFormat="1" x14ac:dyDescent="0.2">
      <c r="A138" s="72">
        <f>IF(F138&lt;&gt;"",1+MAX($A$1:A137),"")</f>
        <v>93</v>
      </c>
      <c r="B138" s="83" t="s">
        <v>569</v>
      </c>
      <c r="C138" s="360" t="s">
        <v>591</v>
      </c>
      <c r="D138" s="366"/>
      <c r="E138" s="372" t="s">
        <v>602</v>
      </c>
      <c r="F138" s="264">
        <f>39*7.67*2</f>
        <v>598.26</v>
      </c>
      <c r="G138" s="74">
        <v>0.1</v>
      </c>
      <c r="H138" s="75">
        <f t="shared" si="42"/>
        <v>658.08600000000001</v>
      </c>
      <c r="I138" s="76" t="s">
        <v>16</v>
      </c>
      <c r="J138" s="370">
        <f>J$26</f>
        <v>0</v>
      </c>
      <c r="K138" s="364">
        <f t="shared" si="43"/>
        <v>0</v>
      </c>
      <c r="L138" s="365"/>
    </row>
    <row r="139" spans="1:12" s="258" customFormat="1" x14ac:dyDescent="0.2">
      <c r="A139" s="72" t="str">
        <f>IF(F139&lt;&gt;"",1+MAX($A$1:A138),"")</f>
        <v/>
      </c>
      <c r="B139" s="83"/>
      <c r="C139" s="360"/>
      <c r="D139" s="366"/>
      <c r="E139" s="367"/>
      <c r="F139" s="368"/>
      <c r="G139" s="369"/>
      <c r="H139" s="75"/>
      <c r="I139" s="76"/>
      <c r="J139" s="370"/>
      <c r="K139" s="364"/>
      <c r="L139" s="365"/>
    </row>
    <row r="140" spans="1:12" s="258" customFormat="1" ht="16.5" thickBot="1" x14ac:dyDescent="0.25">
      <c r="A140" s="72" t="str">
        <f>IF(F140&lt;&gt;"",1+MAX($A$1:A139),"")</f>
        <v/>
      </c>
      <c r="B140" s="83"/>
      <c r="C140" s="360"/>
      <c r="D140" s="366"/>
      <c r="E140" s="367"/>
      <c r="F140" s="368"/>
      <c r="G140" s="369"/>
      <c r="H140" s="75"/>
      <c r="I140" s="76"/>
      <c r="J140" s="370"/>
      <c r="K140" s="364"/>
      <c r="L140" s="365"/>
    </row>
    <row r="141" spans="1:12" s="258" customFormat="1" ht="63.75" thickBot="1" x14ac:dyDescent="0.25">
      <c r="A141" s="72" t="str">
        <f>IF(F141&lt;&gt;"",1+MAX($A$1:A140),"")</f>
        <v/>
      </c>
      <c r="B141" s="83"/>
      <c r="C141" s="360"/>
      <c r="D141" s="360"/>
      <c r="E141" s="429" t="s">
        <v>604</v>
      </c>
      <c r="F141" s="394"/>
      <c r="G141" s="369"/>
      <c r="H141" s="75"/>
      <c r="I141" s="76"/>
      <c r="J141" s="370"/>
      <c r="K141" s="364"/>
      <c r="L141" s="365"/>
    </row>
    <row r="142" spans="1:12" s="258" customFormat="1" x14ac:dyDescent="0.2">
      <c r="A142" s="72">
        <f>IF(F142&lt;&gt;"",1+MAX($A$1:A141),"")</f>
        <v>94</v>
      </c>
      <c r="B142" s="83" t="s">
        <v>569</v>
      </c>
      <c r="C142" s="360" t="s">
        <v>591</v>
      </c>
      <c r="D142" s="361"/>
      <c r="E142" s="362" t="s">
        <v>513</v>
      </c>
      <c r="F142" s="264">
        <f>68*2*1/27</f>
        <v>5.0370370370370372</v>
      </c>
      <c r="G142" s="74">
        <v>0.1</v>
      </c>
      <c r="H142" s="75">
        <f t="shared" ref="H142:H148" si="45">F142*(1+G142)</f>
        <v>5.5407407407407412</v>
      </c>
      <c r="I142" s="76" t="s">
        <v>458</v>
      </c>
      <c r="J142" s="370">
        <f>J$18</f>
        <v>0</v>
      </c>
      <c r="K142" s="364">
        <f t="shared" ref="K142:K148" si="46">J142*H142</f>
        <v>0</v>
      </c>
      <c r="L142" s="365"/>
    </row>
    <row r="143" spans="1:12" s="258" customFormat="1" x14ac:dyDescent="0.2">
      <c r="A143" s="72">
        <f>IF(F143&lt;&gt;"",1+MAX($A$1:A142),"")</f>
        <v>95</v>
      </c>
      <c r="B143" s="83" t="s">
        <v>569</v>
      </c>
      <c r="C143" s="360" t="s">
        <v>591</v>
      </c>
      <c r="D143" s="366"/>
      <c r="E143" s="372" t="s">
        <v>592</v>
      </c>
      <c r="F143" s="264">
        <f>68*1*2</f>
        <v>136</v>
      </c>
      <c r="G143" s="74">
        <v>0.1</v>
      </c>
      <c r="H143" s="75">
        <f t="shared" si="45"/>
        <v>149.60000000000002</v>
      </c>
      <c r="I143" s="76" t="s">
        <v>515</v>
      </c>
      <c r="J143" s="370">
        <f>J$75</f>
        <v>0</v>
      </c>
      <c r="K143" s="364">
        <f t="shared" si="46"/>
        <v>0</v>
      </c>
      <c r="L143" s="365"/>
    </row>
    <row r="144" spans="1:12" s="258" customFormat="1" x14ac:dyDescent="0.2">
      <c r="A144" s="72">
        <f>IF(F144&lt;&gt;"",1+MAX($A$1:A143),"")</f>
        <v>96</v>
      </c>
      <c r="B144" s="83" t="s">
        <v>569</v>
      </c>
      <c r="C144" s="360" t="s">
        <v>591</v>
      </c>
      <c r="D144" s="366"/>
      <c r="E144" s="372" t="s">
        <v>516</v>
      </c>
      <c r="F144" s="264">
        <f>68*3*3.67/27</f>
        <v>27.728888888888886</v>
      </c>
      <c r="G144" s="74">
        <v>0.1</v>
      </c>
      <c r="H144" s="75">
        <f t="shared" si="45"/>
        <v>30.501777777777775</v>
      </c>
      <c r="I144" s="76" t="s">
        <v>458</v>
      </c>
      <c r="J144" s="370">
        <f>J$20</f>
        <v>0</v>
      </c>
      <c r="K144" s="364">
        <f t="shared" si="46"/>
        <v>0</v>
      </c>
      <c r="L144" s="365"/>
    </row>
    <row r="145" spans="1:12" s="258" customFormat="1" x14ac:dyDescent="0.2">
      <c r="A145" s="72">
        <f>IF(F145&lt;&gt;"",1+MAX($A$1:A144),"")</f>
        <v>97</v>
      </c>
      <c r="B145" s="83" t="s">
        <v>569</v>
      </c>
      <c r="C145" s="360" t="s">
        <v>591</v>
      </c>
      <c r="D145" s="366"/>
      <c r="E145" s="372" t="s">
        <v>517</v>
      </c>
      <c r="F145" s="264">
        <f>F144-F142-68*0.67*2.67/27</f>
        <v>18.18647407407407</v>
      </c>
      <c r="G145" s="74">
        <v>0.1</v>
      </c>
      <c r="H145" s="75">
        <f t="shared" si="45"/>
        <v>20.005121481481478</v>
      </c>
      <c r="I145" s="76" t="s">
        <v>458</v>
      </c>
      <c r="J145" s="370">
        <f>J$21</f>
        <v>0</v>
      </c>
      <c r="K145" s="364">
        <f t="shared" si="46"/>
        <v>0</v>
      </c>
      <c r="L145" s="365"/>
    </row>
    <row r="146" spans="1:12" s="258" customFormat="1" x14ac:dyDescent="0.2">
      <c r="A146" s="72">
        <f>IF(F146&lt;&gt;"",1+MAX($A$1:A145),"")</f>
        <v>98</v>
      </c>
      <c r="B146" s="83" t="s">
        <v>569</v>
      </c>
      <c r="C146" s="360" t="s">
        <v>591</v>
      </c>
      <c r="D146" s="366"/>
      <c r="E146" s="367" t="s">
        <v>593</v>
      </c>
      <c r="F146" s="264">
        <f>(68/1+1)*2*0.668*1.2</f>
        <v>110.62080000000002</v>
      </c>
      <c r="G146" s="74">
        <v>0.1</v>
      </c>
      <c r="H146" s="75">
        <f t="shared" si="45"/>
        <v>121.68288000000003</v>
      </c>
      <c r="I146" s="76" t="s">
        <v>573</v>
      </c>
      <c r="J146" s="370">
        <f t="shared" ref="J146:J148" si="47">J$22</f>
        <v>0</v>
      </c>
      <c r="K146" s="364">
        <f t="shared" si="46"/>
        <v>0</v>
      </c>
      <c r="L146" s="365"/>
    </row>
    <row r="147" spans="1:12" s="258" customFormat="1" x14ac:dyDescent="0.2">
      <c r="A147" s="72">
        <f>IF(F147&lt;&gt;"",1+MAX($A$1:A146),"")</f>
        <v>99</v>
      </c>
      <c r="B147" s="83" t="s">
        <v>569</v>
      </c>
      <c r="C147" s="360" t="s">
        <v>591</v>
      </c>
      <c r="D147" s="366"/>
      <c r="E147" s="367" t="s">
        <v>594</v>
      </c>
      <c r="F147" s="264">
        <f>4*68*0.668*1.2</f>
        <v>218.0352</v>
      </c>
      <c r="G147" s="74">
        <v>0.1</v>
      </c>
      <c r="H147" s="75">
        <f t="shared" si="45"/>
        <v>239.83872000000002</v>
      </c>
      <c r="I147" s="76" t="s">
        <v>573</v>
      </c>
      <c r="J147" s="370">
        <f t="shared" si="47"/>
        <v>0</v>
      </c>
      <c r="K147" s="364">
        <f t="shared" si="46"/>
        <v>0</v>
      </c>
      <c r="L147" s="365"/>
    </row>
    <row r="148" spans="1:12" s="258" customFormat="1" x14ac:dyDescent="0.2">
      <c r="A148" s="72">
        <f>IF(F148&lt;&gt;"",1+MAX($A$1:A147),"")</f>
        <v>100</v>
      </c>
      <c r="B148" s="83" t="s">
        <v>569</v>
      </c>
      <c r="C148" s="360" t="s">
        <v>591</v>
      </c>
      <c r="D148" s="366"/>
      <c r="E148" s="367" t="s">
        <v>596</v>
      </c>
      <c r="F148" s="264">
        <f>(68/4+1)*5*0.668*1.2</f>
        <v>72.144000000000005</v>
      </c>
      <c r="G148" s="74">
        <v>0.1</v>
      </c>
      <c r="H148" s="75">
        <f t="shared" si="45"/>
        <v>79.358400000000017</v>
      </c>
      <c r="I148" s="76" t="s">
        <v>573</v>
      </c>
      <c r="J148" s="370">
        <f t="shared" si="47"/>
        <v>0</v>
      </c>
      <c r="K148" s="364">
        <f t="shared" si="46"/>
        <v>0</v>
      </c>
      <c r="L148" s="365"/>
    </row>
    <row r="149" spans="1:12" s="258" customFormat="1" ht="16.5" thickBot="1" x14ac:dyDescent="0.25">
      <c r="A149" s="72" t="str">
        <f>IF(F149&lt;&gt;"",1+MAX($A$1:A148),"")</f>
        <v/>
      </c>
      <c r="B149" s="83"/>
      <c r="C149" s="360"/>
      <c r="D149" s="366"/>
      <c r="E149" s="367"/>
      <c r="F149" s="264"/>
      <c r="G149" s="74"/>
      <c r="H149" s="75"/>
      <c r="I149" s="76"/>
      <c r="J149" s="439"/>
      <c r="K149" s="364"/>
      <c r="L149" s="365"/>
    </row>
    <row r="150" spans="1:12" s="258" customFormat="1" ht="63.75" thickBot="1" x14ac:dyDescent="0.25">
      <c r="A150" s="72" t="str">
        <f>IF(F150&lt;&gt;"",1+MAX($A$1:A149),"")</f>
        <v/>
      </c>
      <c r="B150" s="83"/>
      <c r="C150" s="360"/>
      <c r="D150" s="360"/>
      <c r="E150" s="429" t="s">
        <v>605</v>
      </c>
      <c r="F150" s="394"/>
      <c r="G150" s="369"/>
      <c r="H150" s="75"/>
      <c r="I150" s="76"/>
      <c r="J150" s="370"/>
      <c r="K150" s="364"/>
      <c r="L150" s="365"/>
    </row>
    <row r="151" spans="1:12" s="258" customFormat="1" x14ac:dyDescent="0.2">
      <c r="A151" s="72">
        <f>IF(F151&lt;&gt;"",1+MAX($A$1:A150),"")</f>
        <v>101</v>
      </c>
      <c r="B151" s="83" t="s">
        <v>569</v>
      </c>
      <c r="C151" s="360" t="s">
        <v>591</v>
      </c>
      <c r="D151" s="361"/>
      <c r="E151" s="362" t="s">
        <v>513</v>
      </c>
      <c r="F151" s="264">
        <f>9*2*1/27</f>
        <v>0.66666666666666663</v>
      </c>
      <c r="G151" s="74">
        <v>0.1</v>
      </c>
      <c r="H151" s="75">
        <f t="shared" ref="H151:H157" si="48">F151*(1+G151)</f>
        <v>0.73333333333333339</v>
      </c>
      <c r="I151" s="76" t="s">
        <v>458</v>
      </c>
      <c r="J151" s="370">
        <f>J$18</f>
        <v>0</v>
      </c>
      <c r="K151" s="364">
        <f t="shared" ref="K151:K157" si="49">J151*H151</f>
        <v>0</v>
      </c>
      <c r="L151" s="365"/>
    </row>
    <row r="152" spans="1:12" s="258" customFormat="1" x14ac:dyDescent="0.2">
      <c r="A152" s="72">
        <f>IF(F152&lt;&gt;"",1+MAX($A$1:A151),"")</f>
        <v>102</v>
      </c>
      <c r="B152" s="83" t="s">
        <v>569</v>
      </c>
      <c r="C152" s="360" t="s">
        <v>591</v>
      </c>
      <c r="D152" s="366"/>
      <c r="E152" s="372" t="s">
        <v>592</v>
      </c>
      <c r="F152" s="264">
        <f>9*1*2</f>
        <v>18</v>
      </c>
      <c r="G152" s="74">
        <v>0.1</v>
      </c>
      <c r="H152" s="75">
        <f t="shared" si="48"/>
        <v>19.8</v>
      </c>
      <c r="I152" s="76" t="s">
        <v>515</v>
      </c>
      <c r="J152" s="370">
        <f>J$75</f>
        <v>0</v>
      </c>
      <c r="K152" s="364">
        <f t="shared" si="49"/>
        <v>0</v>
      </c>
      <c r="L152" s="365"/>
    </row>
    <row r="153" spans="1:12" s="258" customFormat="1" x14ac:dyDescent="0.2">
      <c r="A153" s="72">
        <f>IF(F153&lt;&gt;"",1+MAX($A$1:A152),"")</f>
        <v>103</v>
      </c>
      <c r="B153" s="83" t="s">
        <v>569</v>
      </c>
      <c r="C153" s="360" t="s">
        <v>591</v>
      </c>
      <c r="D153" s="366"/>
      <c r="E153" s="372" t="s">
        <v>516</v>
      </c>
      <c r="F153" s="264">
        <f>9*3*5/27</f>
        <v>5</v>
      </c>
      <c r="G153" s="74">
        <v>0.1</v>
      </c>
      <c r="H153" s="75">
        <f t="shared" si="48"/>
        <v>5.5</v>
      </c>
      <c r="I153" s="76" t="s">
        <v>458</v>
      </c>
      <c r="J153" s="370">
        <f>J$20</f>
        <v>0</v>
      </c>
      <c r="K153" s="364">
        <f t="shared" si="49"/>
        <v>0</v>
      </c>
      <c r="L153" s="365"/>
    </row>
    <row r="154" spans="1:12" s="258" customFormat="1" x14ac:dyDescent="0.2">
      <c r="A154" s="72">
        <f>IF(F154&lt;&gt;"",1+MAX($A$1:A153),"")</f>
        <v>104</v>
      </c>
      <c r="B154" s="83" t="s">
        <v>569</v>
      </c>
      <c r="C154" s="360" t="s">
        <v>591</v>
      </c>
      <c r="D154" s="366"/>
      <c r="E154" s="372" t="s">
        <v>517</v>
      </c>
      <c r="F154" s="264">
        <f>F153-F151-9*0.67*4/27</f>
        <v>3.4399999999999995</v>
      </c>
      <c r="G154" s="74">
        <v>0.1</v>
      </c>
      <c r="H154" s="75">
        <f t="shared" si="48"/>
        <v>3.7839999999999998</v>
      </c>
      <c r="I154" s="76" t="s">
        <v>458</v>
      </c>
      <c r="J154" s="370">
        <f>J$21</f>
        <v>0</v>
      </c>
      <c r="K154" s="364">
        <f t="shared" si="49"/>
        <v>0</v>
      </c>
      <c r="L154" s="365"/>
    </row>
    <row r="155" spans="1:12" s="258" customFormat="1" x14ac:dyDescent="0.2">
      <c r="A155" s="72">
        <f>IF(F155&lt;&gt;"",1+MAX($A$1:A154),"")</f>
        <v>105</v>
      </c>
      <c r="B155" s="83" t="s">
        <v>569</v>
      </c>
      <c r="C155" s="360" t="s">
        <v>591</v>
      </c>
      <c r="D155" s="366"/>
      <c r="E155" s="367" t="s">
        <v>593</v>
      </c>
      <c r="F155" s="264">
        <f>(9/1+1)*2*0.668*1.2</f>
        <v>16.032</v>
      </c>
      <c r="G155" s="74">
        <v>0.1</v>
      </c>
      <c r="H155" s="75">
        <f t="shared" si="48"/>
        <v>17.635200000000001</v>
      </c>
      <c r="I155" s="76" t="s">
        <v>573</v>
      </c>
      <c r="J155" s="370">
        <f t="shared" ref="J155:J157" si="50">J$22</f>
        <v>0</v>
      </c>
      <c r="K155" s="364">
        <f t="shared" si="49"/>
        <v>0</v>
      </c>
      <c r="L155" s="365"/>
    </row>
    <row r="156" spans="1:12" s="258" customFormat="1" x14ac:dyDescent="0.2">
      <c r="A156" s="72">
        <f>IF(F156&lt;&gt;"",1+MAX($A$1:A155),"")</f>
        <v>106</v>
      </c>
      <c r="B156" s="83" t="s">
        <v>569</v>
      </c>
      <c r="C156" s="360" t="s">
        <v>591</v>
      </c>
      <c r="D156" s="366"/>
      <c r="E156" s="367" t="s">
        <v>594</v>
      </c>
      <c r="F156" s="264">
        <f>4*9*0.668*1.2</f>
        <v>28.857600000000001</v>
      </c>
      <c r="G156" s="74">
        <v>0.1</v>
      </c>
      <c r="H156" s="75">
        <f t="shared" si="48"/>
        <v>31.743360000000003</v>
      </c>
      <c r="I156" s="76" t="s">
        <v>573</v>
      </c>
      <c r="J156" s="370">
        <f t="shared" si="50"/>
        <v>0</v>
      </c>
      <c r="K156" s="364">
        <f t="shared" si="49"/>
        <v>0</v>
      </c>
      <c r="L156" s="365"/>
    </row>
    <row r="157" spans="1:12" s="258" customFormat="1" x14ac:dyDescent="0.2">
      <c r="A157" s="72">
        <f>IF(F157&lt;&gt;"",1+MAX($A$1:A156),"")</f>
        <v>107</v>
      </c>
      <c r="B157" s="83" t="s">
        <v>569</v>
      </c>
      <c r="C157" s="360" t="s">
        <v>591</v>
      </c>
      <c r="D157" s="366"/>
      <c r="E157" s="367" t="s">
        <v>596</v>
      </c>
      <c r="F157" s="264">
        <f>(9/4+1)*6.25*0.668*1.2</f>
        <v>16.282500000000002</v>
      </c>
      <c r="G157" s="74">
        <v>0.1</v>
      </c>
      <c r="H157" s="75">
        <f t="shared" si="48"/>
        <v>17.910750000000004</v>
      </c>
      <c r="I157" s="76" t="s">
        <v>573</v>
      </c>
      <c r="J157" s="370">
        <f t="shared" si="50"/>
        <v>0</v>
      </c>
      <c r="K157" s="364">
        <f t="shared" si="49"/>
        <v>0</v>
      </c>
      <c r="L157" s="365"/>
    </row>
    <row r="158" spans="1:12" s="258" customFormat="1" ht="16.5" thickBot="1" x14ac:dyDescent="0.25">
      <c r="A158" s="72" t="str">
        <f>IF(F158&lt;&gt;"",1+MAX($A$1:A157),"")</f>
        <v/>
      </c>
      <c r="B158" s="83"/>
      <c r="C158" s="360"/>
      <c r="D158" s="366"/>
      <c r="E158" s="367"/>
      <c r="F158" s="368"/>
      <c r="G158" s="369"/>
      <c r="H158" s="75"/>
      <c r="I158" s="76"/>
      <c r="J158" s="370"/>
      <c r="K158" s="364"/>
      <c r="L158" s="365"/>
    </row>
    <row r="159" spans="1:12" s="258" customFormat="1" ht="63.75" thickBot="1" x14ac:dyDescent="0.25">
      <c r="A159" s="72" t="str">
        <f>IF(F159&lt;&gt;"",1+MAX($A$1:A158),"")</f>
        <v/>
      </c>
      <c r="B159" s="83"/>
      <c r="C159" s="360"/>
      <c r="D159" s="360"/>
      <c r="E159" s="429" t="s">
        <v>606</v>
      </c>
      <c r="F159" s="394"/>
      <c r="G159" s="369"/>
      <c r="H159" s="75"/>
      <c r="I159" s="76"/>
      <c r="J159" s="370"/>
      <c r="K159" s="364"/>
      <c r="L159" s="365"/>
    </row>
    <row r="160" spans="1:12" s="258" customFormat="1" x14ac:dyDescent="0.2">
      <c r="A160" s="72">
        <f>IF(F160&lt;&gt;"",1+MAX($A$1:A159),"")</f>
        <v>108</v>
      </c>
      <c r="B160" s="83" t="s">
        <v>569</v>
      </c>
      <c r="C160" s="360" t="s">
        <v>591</v>
      </c>
      <c r="D160" s="361"/>
      <c r="E160" s="362" t="s">
        <v>513</v>
      </c>
      <c r="F160" s="264">
        <f>49*2*1/27</f>
        <v>3.6296296296296298</v>
      </c>
      <c r="G160" s="74">
        <v>0.1</v>
      </c>
      <c r="H160" s="75">
        <f t="shared" ref="H160:H166" si="51">F160*(1+G160)</f>
        <v>3.9925925925925929</v>
      </c>
      <c r="I160" s="76" t="s">
        <v>458</v>
      </c>
      <c r="J160" s="370">
        <f>J$18</f>
        <v>0</v>
      </c>
      <c r="K160" s="364">
        <f t="shared" ref="K160:K166" si="52">J160*H160</f>
        <v>0</v>
      </c>
      <c r="L160" s="365"/>
    </row>
    <row r="161" spans="1:12" s="258" customFormat="1" x14ac:dyDescent="0.2">
      <c r="A161" s="72">
        <f>IF(F161&lt;&gt;"",1+MAX($A$1:A160),"")</f>
        <v>109</v>
      </c>
      <c r="B161" s="83" t="s">
        <v>569</v>
      </c>
      <c r="C161" s="360" t="s">
        <v>591</v>
      </c>
      <c r="D161" s="366"/>
      <c r="E161" s="372" t="s">
        <v>592</v>
      </c>
      <c r="F161" s="264">
        <f>49*1*2</f>
        <v>98</v>
      </c>
      <c r="G161" s="74">
        <v>0.1</v>
      </c>
      <c r="H161" s="75">
        <f t="shared" si="51"/>
        <v>107.80000000000001</v>
      </c>
      <c r="I161" s="76" t="s">
        <v>515</v>
      </c>
      <c r="J161" s="370">
        <f>J$75</f>
        <v>0</v>
      </c>
      <c r="K161" s="364">
        <f t="shared" si="52"/>
        <v>0</v>
      </c>
      <c r="L161" s="365"/>
    </row>
    <row r="162" spans="1:12" s="258" customFormat="1" x14ac:dyDescent="0.2">
      <c r="A162" s="72">
        <f>IF(F162&lt;&gt;"",1+MAX($A$1:A161),"")</f>
        <v>110</v>
      </c>
      <c r="B162" s="83" t="s">
        <v>569</v>
      </c>
      <c r="C162" s="360" t="s">
        <v>591</v>
      </c>
      <c r="D162" s="366"/>
      <c r="E162" s="372" t="s">
        <v>516</v>
      </c>
      <c r="F162" s="264">
        <f>49*3*3.67/27</f>
        <v>19.981111111111112</v>
      </c>
      <c r="G162" s="74">
        <v>0.1</v>
      </c>
      <c r="H162" s="75">
        <f t="shared" si="51"/>
        <v>21.979222222222223</v>
      </c>
      <c r="I162" s="76" t="s">
        <v>458</v>
      </c>
      <c r="J162" s="370">
        <f>J$20</f>
        <v>0</v>
      </c>
      <c r="K162" s="364">
        <f t="shared" si="52"/>
        <v>0</v>
      </c>
      <c r="L162" s="365"/>
    </row>
    <row r="163" spans="1:12" s="258" customFormat="1" x14ac:dyDescent="0.2">
      <c r="A163" s="72">
        <f>IF(F163&lt;&gt;"",1+MAX($A$1:A162),"")</f>
        <v>111</v>
      </c>
      <c r="B163" s="83" t="s">
        <v>569</v>
      </c>
      <c r="C163" s="360" t="s">
        <v>591</v>
      </c>
      <c r="D163" s="366"/>
      <c r="E163" s="372" t="s">
        <v>517</v>
      </c>
      <c r="F163" s="264">
        <f>F162-F160-49*0.67*2.67/27</f>
        <v>13.10495925925926</v>
      </c>
      <c r="G163" s="74">
        <v>0.1</v>
      </c>
      <c r="H163" s="75">
        <f t="shared" si="51"/>
        <v>14.415455185185188</v>
      </c>
      <c r="I163" s="76" t="s">
        <v>458</v>
      </c>
      <c r="J163" s="370">
        <f>J$21</f>
        <v>0</v>
      </c>
      <c r="K163" s="364">
        <f t="shared" si="52"/>
        <v>0</v>
      </c>
      <c r="L163" s="365"/>
    </row>
    <row r="164" spans="1:12" s="258" customFormat="1" x14ac:dyDescent="0.2">
      <c r="A164" s="72">
        <f>IF(F164&lt;&gt;"",1+MAX($A$1:A163),"")</f>
        <v>112</v>
      </c>
      <c r="B164" s="83" t="s">
        <v>569</v>
      </c>
      <c r="C164" s="360" t="s">
        <v>591</v>
      </c>
      <c r="D164" s="366"/>
      <c r="E164" s="367" t="s">
        <v>593</v>
      </c>
      <c r="F164" s="264">
        <f>(49/1+1)*2*0.668*1.2</f>
        <v>80.16</v>
      </c>
      <c r="G164" s="74">
        <v>0.1</v>
      </c>
      <c r="H164" s="75">
        <f t="shared" si="51"/>
        <v>88.176000000000002</v>
      </c>
      <c r="I164" s="76" t="s">
        <v>573</v>
      </c>
      <c r="J164" s="370">
        <f t="shared" ref="J164:J166" si="53">J$22</f>
        <v>0</v>
      </c>
      <c r="K164" s="364">
        <f t="shared" si="52"/>
        <v>0</v>
      </c>
      <c r="L164" s="365"/>
    </row>
    <row r="165" spans="1:12" s="258" customFormat="1" x14ac:dyDescent="0.2">
      <c r="A165" s="72">
        <f>IF(F165&lt;&gt;"",1+MAX($A$1:A164),"")</f>
        <v>113</v>
      </c>
      <c r="B165" s="83" t="s">
        <v>569</v>
      </c>
      <c r="C165" s="360" t="s">
        <v>591</v>
      </c>
      <c r="D165" s="366"/>
      <c r="E165" s="367" t="s">
        <v>594</v>
      </c>
      <c r="F165" s="264">
        <f>4*49*0.668*1.2</f>
        <v>157.11359999999999</v>
      </c>
      <c r="G165" s="74">
        <v>0.1</v>
      </c>
      <c r="H165" s="75">
        <f t="shared" si="51"/>
        <v>172.82496</v>
      </c>
      <c r="I165" s="76" t="s">
        <v>573</v>
      </c>
      <c r="J165" s="370">
        <f t="shared" si="53"/>
        <v>0</v>
      </c>
      <c r="K165" s="364">
        <f t="shared" si="52"/>
        <v>0</v>
      </c>
      <c r="L165" s="365"/>
    </row>
    <row r="166" spans="1:12" s="258" customFormat="1" x14ac:dyDescent="0.2">
      <c r="A166" s="72">
        <f>IF(F166&lt;&gt;"",1+MAX($A$1:A165),"")</f>
        <v>114</v>
      </c>
      <c r="B166" s="83" t="s">
        <v>569</v>
      </c>
      <c r="C166" s="360" t="s">
        <v>591</v>
      </c>
      <c r="D166" s="366"/>
      <c r="E166" s="367" t="s">
        <v>596</v>
      </c>
      <c r="F166" s="264">
        <f>(49/4+1)*5*0.668*1.2</f>
        <v>53.106000000000002</v>
      </c>
      <c r="G166" s="74">
        <v>0.1</v>
      </c>
      <c r="H166" s="75">
        <f t="shared" si="51"/>
        <v>58.41660000000001</v>
      </c>
      <c r="I166" s="76" t="s">
        <v>573</v>
      </c>
      <c r="J166" s="370">
        <f t="shared" si="53"/>
        <v>0</v>
      </c>
      <c r="K166" s="364">
        <f t="shared" si="52"/>
        <v>0</v>
      </c>
      <c r="L166" s="365"/>
    </row>
    <row r="167" spans="1:12" s="258" customFormat="1" ht="16.5" thickBot="1" x14ac:dyDescent="0.25">
      <c r="A167" s="72" t="str">
        <f>IF(F167&lt;&gt;"",1+MAX($A$1:A166),"")</f>
        <v/>
      </c>
      <c r="B167" s="83"/>
      <c r="C167" s="360"/>
      <c r="D167" s="366"/>
      <c r="E167" s="367"/>
      <c r="F167" s="368"/>
      <c r="G167" s="369"/>
      <c r="H167" s="75"/>
      <c r="I167" s="76"/>
      <c r="J167" s="370"/>
      <c r="K167" s="364"/>
      <c r="L167" s="365"/>
    </row>
    <row r="168" spans="1:12" s="258" customFormat="1" ht="63.75" thickBot="1" x14ac:dyDescent="0.25">
      <c r="A168" s="72" t="str">
        <f>IF(F168&lt;&gt;"",1+MAX($A$1:A167),"")</f>
        <v/>
      </c>
      <c r="B168" s="83"/>
      <c r="C168" s="360"/>
      <c r="D168" s="360"/>
      <c r="E168" s="429" t="s">
        <v>607</v>
      </c>
      <c r="F168" s="394"/>
      <c r="G168" s="369"/>
      <c r="H168" s="75"/>
      <c r="I168" s="76"/>
      <c r="J168" s="370"/>
      <c r="K168" s="364"/>
      <c r="L168" s="365"/>
    </row>
    <row r="169" spans="1:12" s="258" customFormat="1" x14ac:dyDescent="0.2">
      <c r="A169" s="72">
        <f>IF(F169&lt;&gt;"",1+MAX($A$1:A168),"")</f>
        <v>115</v>
      </c>
      <c r="B169" s="83" t="s">
        <v>569</v>
      </c>
      <c r="C169" s="360" t="s">
        <v>591</v>
      </c>
      <c r="D169" s="361"/>
      <c r="E169" s="362" t="s">
        <v>513</v>
      </c>
      <c r="F169" s="264">
        <f>41*2*1/27</f>
        <v>3.0370370370370372</v>
      </c>
      <c r="G169" s="74">
        <v>0.1</v>
      </c>
      <c r="H169" s="75">
        <f t="shared" ref="H169:H175" si="54">F169*(1+G169)</f>
        <v>3.340740740740741</v>
      </c>
      <c r="I169" s="76" t="s">
        <v>458</v>
      </c>
      <c r="J169" s="370">
        <f>J$18</f>
        <v>0</v>
      </c>
      <c r="K169" s="364">
        <f t="shared" ref="K169:K175" si="55">J169*H169</f>
        <v>0</v>
      </c>
      <c r="L169" s="365"/>
    </row>
    <row r="170" spans="1:12" s="258" customFormat="1" x14ac:dyDescent="0.2">
      <c r="A170" s="72">
        <f>IF(F170&lt;&gt;"",1+MAX($A$1:A169),"")</f>
        <v>116</v>
      </c>
      <c r="B170" s="83" t="s">
        <v>569</v>
      </c>
      <c r="C170" s="360" t="s">
        <v>591</v>
      </c>
      <c r="D170" s="366"/>
      <c r="E170" s="372" t="s">
        <v>592</v>
      </c>
      <c r="F170" s="264">
        <f>41*1*2</f>
        <v>82</v>
      </c>
      <c r="G170" s="74">
        <v>0.1</v>
      </c>
      <c r="H170" s="75">
        <f t="shared" si="54"/>
        <v>90.2</v>
      </c>
      <c r="I170" s="76" t="s">
        <v>515</v>
      </c>
      <c r="J170" s="370">
        <f>J$75</f>
        <v>0</v>
      </c>
      <c r="K170" s="364">
        <f t="shared" si="55"/>
        <v>0</v>
      </c>
      <c r="L170" s="365"/>
    </row>
    <row r="171" spans="1:12" s="258" customFormat="1" x14ac:dyDescent="0.2">
      <c r="A171" s="72">
        <f>IF(F171&lt;&gt;"",1+MAX($A$1:A170),"")</f>
        <v>117</v>
      </c>
      <c r="B171" s="83" t="s">
        <v>569</v>
      </c>
      <c r="C171" s="360" t="s">
        <v>591</v>
      </c>
      <c r="D171" s="366"/>
      <c r="E171" s="372" t="s">
        <v>516</v>
      </c>
      <c r="F171" s="264">
        <f>41*3*5/27</f>
        <v>22.777777777777779</v>
      </c>
      <c r="G171" s="74">
        <v>0.1</v>
      </c>
      <c r="H171" s="75">
        <f t="shared" si="54"/>
        <v>25.055555555555557</v>
      </c>
      <c r="I171" s="76" t="s">
        <v>458</v>
      </c>
      <c r="J171" s="370">
        <f>J$20</f>
        <v>0</v>
      </c>
      <c r="K171" s="364">
        <f t="shared" si="55"/>
        <v>0</v>
      </c>
      <c r="L171" s="365"/>
    </row>
    <row r="172" spans="1:12" s="258" customFormat="1" x14ac:dyDescent="0.2">
      <c r="A172" s="72">
        <f>IF(F172&lt;&gt;"",1+MAX($A$1:A171),"")</f>
        <v>118</v>
      </c>
      <c r="B172" s="83" t="s">
        <v>569</v>
      </c>
      <c r="C172" s="360" t="s">
        <v>591</v>
      </c>
      <c r="D172" s="366"/>
      <c r="E172" s="372" t="s">
        <v>517</v>
      </c>
      <c r="F172" s="264">
        <f>F171-F169-41*0.67*4/27</f>
        <v>15.671111111111109</v>
      </c>
      <c r="G172" s="74">
        <v>0.1</v>
      </c>
      <c r="H172" s="75">
        <f t="shared" si="54"/>
        <v>17.238222222222223</v>
      </c>
      <c r="I172" s="76" t="s">
        <v>458</v>
      </c>
      <c r="J172" s="370">
        <f>J$21</f>
        <v>0</v>
      </c>
      <c r="K172" s="364">
        <f t="shared" si="55"/>
        <v>0</v>
      </c>
      <c r="L172" s="365"/>
    </row>
    <row r="173" spans="1:12" s="258" customFormat="1" x14ac:dyDescent="0.2">
      <c r="A173" s="72">
        <f>IF(F173&lt;&gt;"",1+MAX($A$1:A172),"")</f>
        <v>119</v>
      </c>
      <c r="B173" s="83" t="s">
        <v>569</v>
      </c>
      <c r="C173" s="360" t="s">
        <v>591</v>
      </c>
      <c r="D173" s="366"/>
      <c r="E173" s="367" t="s">
        <v>593</v>
      </c>
      <c r="F173" s="264">
        <f>(41/1+1)*2*0.668*1.2</f>
        <v>67.334400000000002</v>
      </c>
      <c r="G173" s="74">
        <v>0.1</v>
      </c>
      <c r="H173" s="75">
        <f t="shared" si="54"/>
        <v>74.067840000000004</v>
      </c>
      <c r="I173" s="76" t="s">
        <v>573</v>
      </c>
      <c r="J173" s="370">
        <f t="shared" ref="J173:J175" si="56">J$22</f>
        <v>0</v>
      </c>
      <c r="K173" s="364">
        <f t="shared" si="55"/>
        <v>0</v>
      </c>
      <c r="L173" s="365"/>
    </row>
    <row r="174" spans="1:12" s="258" customFormat="1" x14ac:dyDescent="0.2">
      <c r="A174" s="72">
        <f>IF(F174&lt;&gt;"",1+MAX($A$1:A173),"")</f>
        <v>120</v>
      </c>
      <c r="B174" s="83" t="s">
        <v>569</v>
      </c>
      <c r="C174" s="360" t="s">
        <v>591</v>
      </c>
      <c r="D174" s="366"/>
      <c r="E174" s="367" t="s">
        <v>594</v>
      </c>
      <c r="F174" s="264">
        <f>4*41*0.668*1.2</f>
        <v>131.4624</v>
      </c>
      <c r="G174" s="74">
        <v>0.1</v>
      </c>
      <c r="H174" s="75">
        <f t="shared" si="54"/>
        <v>144.60864000000001</v>
      </c>
      <c r="I174" s="76" t="s">
        <v>573</v>
      </c>
      <c r="J174" s="370">
        <f t="shared" si="56"/>
        <v>0</v>
      </c>
      <c r="K174" s="364">
        <f t="shared" si="55"/>
        <v>0</v>
      </c>
      <c r="L174" s="365"/>
    </row>
    <row r="175" spans="1:12" s="258" customFormat="1" x14ac:dyDescent="0.2">
      <c r="A175" s="72">
        <f>IF(F175&lt;&gt;"",1+MAX($A$1:A174),"")</f>
        <v>121</v>
      </c>
      <c r="B175" s="83" t="s">
        <v>569</v>
      </c>
      <c r="C175" s="360" t="s">
        <v>591</v>
      </c>
      <c r="D175" s="366"/>
      <c r="E175" s="367" t="s">
        <v>596</v>
      </c>
      <c r="F175" s="264">
        <f>(41/4+1)*6.25*0.668*1.2</f>
        <v>56.362499999999997</v>
      </c>
      <c r="G175" s="74">
        <v>0.1</v>
      </c>
      <c r="H175" s="75">
        <f t="shared" si="54"/>
        <v>61.998750000000001</v>
      </c>
      <c r="I175" s="76" t="s">
        <v>573</v>
      </c>
      <c r="J175" s="370">
        <f t="shared" si="56"/>
        <v>0</v>
      </c>
      <c r="K175" s="364">
        <f t="shared" si="55"/>
        <v>0</v>
      </c>
      <c r="L175" s="365"/>
    </row>
    <row r="176" spans="1:12" s="258" customFormat="1" ht="16.5" thickBot="1" x14ac:dyDescent="0.25">
      <c r="A176" s="72" t="str">
        <f>IF(F176&lt;&gt;"",1+MAX($A$1:A175),"")</f>
        <v/>
      </c>
      <c r="B176" s="83"/>
      <c r="C176" s="360"/>
      <c r="D176" s="366"/>
      <c r="E176" s="367"/>
      <c r="F176" s="368"/>
      <c r="G176" s="369"/>
      <c r="H176" s="75"/>
      <c r="I176" s="76"/>
      <c r="J176" s="370"/>
      <c r="K176" s="364"/>
      <c r="L176" s="365"/>
    </row>
    <row r="177" spans="1:12" s="258" customFormat="1" ht="63.75" thickBot="1" x14ac:dyDescent="0.25">
      <c r="A177" s="72" t="str">
        <f>IF(F177&lt;&gt;"",1+MAX($A$1:A176),"")</f>
        <v/>
      </c>
      <c r="B177" s="83"/>
      <c r="C177" s="360"/>
      <c r="D177" s="360"/>
      <c r="E177" s="429" t="s">
        <v>608</v>
      </c>
      <c r="F177" s="394"/>
      <c r="G177" s="369"/>
      <c r="H177" s="75"/>
      <c r="I177" s="76"/>
      <c r="J177" s="370"/>
      <c r="K177" s="364"/>
      <c r="L177" s="365"/>
    </row>
    <row r="178" spans="1:12" s="258" customFormat="1" x14ac:dyDescent="0.2">
      <c r="A178" s="72">
        <f>IF(F178&lt;&gt;"",1+MAX($A$1:A177),"")</f>
        <v>122</v>
      </c>
      <c r="B178" s="83" t="s">
        <v>569</v>
      </c>
      <c r="C178" s="360" t="s">
        <v>591</v>
      </c>
      <c r="D178" s="361"/>
      <c r="E178" s="362" t="s">
        <v>513</v>
      </c>
      <c r="F178" s="264">
        <f>5*2*1/27</f>
        <v>0.37037037037037035</v>
      </c>
      <c r="G178" s="74">
        <v>0.1</v>
      </c>
      <c r="H178" s="75">
        <f t="shared" ref="H178:H184" si="57">F178*(1+G178)</f>
        <v>0.40740740740740744</v>
      </c>
      <c r="I178" s="76" t="s">
        <v>458</v>
      </c>
      <c r="J178" s="370">
        <f>J$18</f>
        <v>0</v>
      </c>
      <c r="K178" s="364">
        <f t="shared" ref="K178:K184" si="58">J178*H178</f>
        <v>0</v>
      </c>
      <c r="L178" s="365"/>
    </row>
    <row r="179" spans="1:12" s="258" customFormat="1" x14ac:dyDescent="0.2">
      <c r="A179" s="72">
        <f>IF(F179&lt;&gt;"",1+MAX($A$1:A178),"")</f>
        <v>123</v>
      </c>
      <c r="B179" s="83" t="s">
        <v>569</v>
      </c>
      <c r="C179" s="360" t="s">
        <v>591</v>
      </c>
      <c r="D179" s="366"/>
      <c r="E179" s="372" t="s">
        <v>592</v>
      </c>
      <c r="F179" s="264">
        <f>5*1*2</f>
        <v>10</v>
      </c>
      <c r="G179" s="74">
        <v>0.1</v>
      </c>
      <c r="H179" s="75">
        <f t="shared" si="57"/>
        <v>11</v>
      </c>
      <c r="I179" s="76" t="s">
        <v>515</v>
      </c>
      <c r="J179" s="370">
        <f>J$75</f>
        <v>0</v>
      </c>
      <c r="K179" s="364">
        <f t="shared" si="58"/>
        <v>0</v>
      </c>
      <c r="L179" s="365"/>
    </row>
    <row r="180" spans="1:12" s="258" customFormat="1" x14ac:dyDescent="0.2">
      <c r="A180" s="72">
        <f>IF(F180&lt;&gt;"",1+MAX($A$1:A179),"")</f>
        <v>124</v>
      </c>
      <c r="B180" s="83" t="s">
        <v>569</v>
      </c>
      <c r="C180" s="360" t="s">
        <v>591</v>
      </c>
      <c r="D180" s="366"/>
      <c r="E180" s="372" t="s">
        <v>516</v>
      </c>
      <c r="F180" s="264">
        <f>5*3*3.67/27</f>
        <v>2.0388888888888888</v>
      </c>
      <c r="G180" s="74">
        <v>0.1</v>
      </c>
      <c r="H180" s="75">
        <f t="shared" si="57"/>
        <v>2.242777777777778</v>
      </c>
      <c r="I180" s="76" t="s">
        <v>458</v>
      </c>
      <c r="J180" s="370">
        <f>J$20</f>
        <v>0</v>
      </c>
      <c r="K180" s="364">
        <f t="shared" si="58"/>
        <v>0</v>
      </c>
      <c r="L180" s="365"/>
    </row>
    <row r="181" spans="1:12" s="258" customFormat="1" x14ac:dyDescent="0.2">
      <c r="A181" s="72">
        <f>IF(F181&lt;&gt;"",1+MAX($A$1:A180),"")</f>
        <v>125</v>
      </c>
      <c r="B181" s="83" t="s">
        <v>569</v>
      </c>
      <c r="C181" s="360" t="s">
        <v>591</v>
      </c>
      <c r="D181" s="366"/>
      <c r="E181" s="372" t="s">
        <v>517</v>
      </c>
      <c r="F181" s="264">
        <f>F180-F178-5*0.67*2.67/27</f>
        <v>1.3372407407407407</v>
      </c>
      <c r="G181" s="74">
        <v>0.1</v>
      </c>
      <c r="H181" s="75">
        <f t="shared" si="57"/>
        <v>1.4709648148148149</v>
      </c>
      <c r="I181" s="76" t="s">
        <v>458</v>
      </c>
      <c r="J181" s="370">
        <f>J$21</f>
        <v>0</v>
      </c>
      <c r="K181" s="364">
        <f t="shared" si="58"/>
        <v>0</v>
      </c>
      <c r="L181" s="365"/>
    </row>
    <row r="182" spans="1:12" s="258" customFormat="1" x14ac:dyDescent="0.2">
      <c r="A182" s="72">
        <f>IF(F182&lt;&gt;"",1+MAX($A$1:A181),"")</f>
        <v>126</v>
      </c>
      <c r="B182" s="83" t="s">
        <v>569</v>
      </c>
      <c r="C182" s="360" t="s">
        <v>591</v>
      </c>
      <c r="D182" s="366"/>
      <c r="E182" s="367" t="s">
        <v>593</v>
      </c>
      <c r="F182" s="264">
        <f>(5/1+1)*2*0.668*1.2</f>
        <v>9.6191999999999993</v>
      </c>
      <c r="G182" s="74">
        <v>0.1</v>
      </c>
      <c r="H182" s="75">
        <f t="shared" si="57"/>
        <v>10.58112</v>
      </c>
      <c r="I182" s="76" t="s">
        <v>573</v>
      </c>
      <c r="J182" s="370">
        <f t="shared" ref="J182:J184" si="59">J$22</f>
        <v>0</v>
      </c>
      <c r="K182" s="364">
        <f t="shared" si="58"/>
        <v>0</v>
      </c>
      <c r="L182" s="365"/>
    </row>
    <row r="183" spans="1:12" s="258" customFormat="1" x14ac:dyDescent="0.2">
      <c r="A183" s="72">
        <f>IF(F183&lt;&gt;"",1+MAX($A$1:A182),"")</f>
        <v>127</v>
      </c>
      <c r="B183" s="83" t="s">
        <v>569</v>
      </c>
      <c r="C183" s="360" t="s">
        <v>591</v>
      </c>
      <c r="D183" s="366"/>
      <c r="E183" s="367" t="s">
        <v>594</v>
      </c>
      <c r="F183" s="264">
        <f>4*5*0.668*1.2</f>
        <v>16.032</v>
      </c>
      <c r="G183" s="74">
        <v>0.1</v>
      </c>
      <c r="H183" s="75">
        <f t="shared" si="57"/>
        <v>17.635200000000001</v>
      </c>
      <c r="I183" s="76" t="s">
        <v>573</v>
      </c>
      <c r="J183" s="370">
        <f t="shared" si="59"/>
        <v>0</v>
      </c>
      <c r="K183" s="364">
        <f t="shared" si="58"/>
        <v>0</v>
      </c>
      <c r="L183" s="365"/>
    </row>
    <row r="184" spans="1:12" s="258" customFormat="1" x14ac:dyDescent="0.2">
      <c r="A184" s="72">
        <f>IF(F184&lt;&gt;"",1+MAX($A$1:A183),"")</f>
        <v>128</v>
      </c>
      <c r="B184" s="83" t="s">
        <v>569</v>
      </c>
      <c r="C184" s="360" t="s">
        <v>591</v>
      </c>
      <c r="D184" s="366"/>
      <c r="E184" s="367" t="s">
        <v>596</v>
      </c>
      <c r="F184" s="264">
        <f>(5/4+1)*5*0.668*1.2</f>
        <v>9.0180000000000007</v>
      </c>
      <c r="G184" s="74">
        <v>0.1</v>
      </c>
      <c r="H184" s="75">
        <f t="shared" si="57"/>
        <v>9.9198000000000022</v>
      </c>
      <c r="I184" s="76" t="s">
        <v>573</v>
      </c>
      <c r="J184" s="370">
        <f t="shared" si="59"/>
        <v>0</v>
      </c>
      <c r="K184" s="364">
        <f t="shared" si="58"/>
        <v>0</v>
      </c>
      <c r="L184" s="365"/>
    </row>
    <row r="185" spans="1:12" s="258" customFormat="1" ht="16.5" thickBot="1" x14ac:dyDescent="0.25">
      <c r="A185" s="72" t="str">
        <f>IF(F185&lt;&gt;"",1+MAX($A$1:A184),"")</f>
        <v/>
      </c>
      <c r="B185" s="83"/>
      <c r="C185" s="360"/>
      <c r="D185" s="366"/>
      <c r="E185" s="367"/>
      <c r="F185" s="368"/>
      <c r="G185" s="369"/>
      <c r="H185" s="75"/>
      <c r="I185" s="76"/>
      <c r="J185" s="370"/>
      <c r="K185" s="364"/>
      <c r="L185" s="365"/>
    </row>
    <row r="186" spans="1:12" s="258" customFormat="1" ht="63.75" thickBot="1" x14ac:dyDescent="0.25">
      <c r="A186" s="72" t="str">
        <f>IF(F186&lt;&gt;"",1+MAX($A$1:A185),"")</f>
        <v/>
      </c>
      <c r="B186" s="83"/>
      <c r="C186" s="360"/>
      <c r="D186" s="360"/>
      <c r="E186" s="429" t="s">
        <v>609</v>
      </c>
      <c r="F186" s="394"/>
      <c r="G186" s="369"/>
      <c r="H186" s="75"/>
      <c r="I186" s="76"/>
      <c r="J186" s="370"/>
      <c r="K186" s="364"/>
      <c r="L186" s="365"/>
    </row>
    <row r="187" spans="1:12" s="258" customFormat="1" x14ac:dyDescent="0.2">
      <c r="A187" s="72">
        <f>IF(F187&lt;&gt;"",1+MAX($A$1:A186),"")</f>
        <v>129</v>
      </c>
      <c r="B187" s="83" t="s">
        <v>569</v>
      </c>
      <c r="C187" s="360" t="s">
        <v>591</v>
      </c>
      <c r="D187" s="361"/>
      <c r="E187" s="362" t="s">
        <v>513</v>
      </c>
      <c r="F187" s="264">
        <f>11*2*1/27</f>
        <v>0.81481481481481477</v>
      </c>
      <c r="G187" s="74">
        <v>0.1</v>
      </c>
      <c r="H187" s="75">
        <f t="shared" ref="H187:H193" si="60">F187*(1+G187)</f>
        <v>0.89629629629629637</v>
      </c>
      <c r="I187" s="76" t="s">
        <v>458</v>
      </c>
      <c r="J187" s="370">
        <f>J$18</f>
        <v>0</v>
      </c>
      <c r="K187" s="364">
        <f t="shared" ref="K187:K193" si="61">J187*H187</f>
        <v>0</v>
      </c>
      <c r="L187" s="365"/>
    </row>
    <row r="188" spans="1:12" s="258" customFormat="1" x14ac:dyDescent="0.2">
      <c r="A188" s="72">
        <f>IF(F188&lt;&gt;"",1+MAX($A$1:A187),"")</f>
        <v>130</v>
      </c>
      <c r="B188" s="83" t="s">
        <v>569</v>
      </c>
      <c r="C188" s="360" t="s">
        <v>591</v>
      </c>
      <c r="D188" s="366"/>
      <c r="E188" s="372" t="s">
        <v>592</v>
      </c>
      <c r="F188" s="264">
        <f>11*1*2</f>
        <v>22</v>
      </c>
      <c r="G188" s="74">
        <v>0.1</v>
      </c>
      <c r="H188" s="75">
        <f t="shared" si="60"/>
        <v>24.200000000000003</v>
      </c>
      <c r="I188" s="76" t="s">
        <v>515</v>
      </c>
      <c r="J188" s="370">
        <f>J$75</f>
        <v>0</v>
      </c>
      <c r="K188" s="364">
        <f t="shared" si="61"/>
        <v>0</v>
      </c>
      <c r="L188" s="365"/>
    </row>
    <row r="189" spans="1:12" s="258" customFormat="1" x14ac:dyDescent="0.2">
      <c r="A189" s="72">
        <f>IF(F189&lt;&gt;"",1+MAX($A$1:A188),"")</f>
        <v>131</v>
      </c>
      <c r="B189" s="83" t="s">
        <v>569</v>
      </c>
      <c r="C189" s="360" t="s">
        <v>591</v>
      </c>
      <c r="D189" s="366"/>
      <c r="E189" s="372" t="s">
        <v>516</v>
      </c>
      <c r="F189" s="264">
        <f>11*3*5/27</f>
        <v>6.1111111111111107</v>
      </c>
      <c r="G189" s="74">
        <v>0.1</v>
      </c>
      <c r="H189" s="75">
        <f t="shared" si="60"/>
        <v>6.7222222222222223</v>
      </c>
      <c r="I189" s="76" t="s">
        <v>458</v>
      </c>
      <c r="J189" s="370">
        <f>J$20</f>
        <v>0</v>
      </c>
      <c r="K189" s="364">
        <f t="shared" si="61"/>
        <v>0</v>
      </c>
      <c r="L189" s="365"/>
    </row>
    <row r="190" spans="1:12" s="258" customFormat="1" x14ac:dyDescent="0.2">
      <c r="A190" s="72">
        <f>IF(F190&lt;&gt;"",1+MAX($A$1:A189),"")</f>
        <v>132</v>
      </c>
      <c r="B190" s="83" t="s">
        <v>569</v>
      </c>
      <c r="C190" s="360" t="s">
        <v>591</v>
      </c>
      <c r="D190" s="366"/>
      <c r="E190" s="372" t="s">
        <v>517</v>
      </c>
      <c r="F190" s="264">
        <f>F189-F187-11*0.67*4/27</f>
        <v>4.2044444444444444</v>
      </c>
      <c r="G190" s="74">
        <v>0.1</v>
      </c>
      <c r="H190" s="75">
        <f t="shared" si="60"/>
        <v>4.624888888888889</v>
      </c>
      <c r="I190" s="76" t="s">
        <v>458</v>
      </c>
      <c r="J190" s="370">
        <f>J$21</f>
        <v>0</v>
      </c>
      <c r="K190" s="364">
        <f t="shared" si="61"/>
        <v>0</v>
      </c>
      <c r="L190" s="365"/>
    </row>
    <row r="191" spans="1:12" s="258" customFormat="1" x14ac:dyDescent="0.2">
      <c r="A191" s="72">
        <f>IF(F191&lt;&gt;"",1+MAX($A$1:A190),"")</f>
        <v>133</v>
      </c>
      <c r="B191" s="83" t="s">
        <v>569</v>
      </c>
      <c r="C191" s="360" t="s">
        <v>591</v>
      </c>
      <c r="D191" s="366"/>
      <c r="E191" s="367" t="s">
        <v>593</v>
      </c>
      <c r="F191" s="264">
        <f>(11/1+1)*2*0.668*1.2</f>
        <v>19.238399999999999</v>
      </c>
      <c r="G191" s="74">
        <v>0.1</v>
      </c>
      <c r="H191" s="75">
        <f t="shared" si="60"/>
        <v>21.162240000000001</v>
      </c>
      <c r="I191" s="76" t="s">
        <v>573</v>
      </c>
      <c r="J191" s="370">
        <f t="shared" ref="J191:J193" si="62">J$22</f>
        <v>0</v>
      </c>
      <c r="K191" s="364">
        <f t="shared" si="61"/>
        <v>0</v>
      </c>
      <c r="L191" s="365"/>
    </row>
    <row r="192" spans="1:12" s="258" customFormat="1" x14ac:dyDescent="0.2">
      <c r="A192" s="72">
        <f>IF(F192&lt;&gt;"",1+MAX($A$1:A191),"")</f>
        <v>134</v>
      </c>
      <c r="B192" s="83" t="s">
        <v>569</v>
      </c>
      <c r="C192" s="360" t="s">
        <v>591</v>
      </c>
      <c r="D192" s="366"/>
      <c r="E192" s="367" t="s">
        <v>594</v>
      </c>
      <c r="F192" s="264">
        <f>4*11*0.668*1.2</f>
        <v>35.270400000000002</v>
      </c>
      <c r="G192" s="74">
        <v>0.1</v>
      </c>
      <c r="H192" s="75">
        <f t="shared" si="60"/>
        <v>38.797440000000009</v>
      </c>
      <c r="I192" s="76" t="s">
        <v>573</v>
      </c>
      <c r="J192" s="370">
        <f t="shared" si="62"/>
        <v>0</v>
      </c>
      <c r="K192" s="364">
        <f t="shared" si="61"/>
        <v>0</v>
      </c>
      <c r="L192" s="365"/>
    </row>
    <row r="193" spans="1:12" s="258" customFormat="1" x14ac:dyDescent="0.2">
      <c r="A193" s="72">
        <f>IF(F193&lt;&gt;"",1+MAX($A$1:A192),"")</f>
        <v>135</v>
      </c>
      <c r="B193" s="83" t="s">
        <v>569</v>
      </c>
      <c r="C193" s="360" t="s">
        <v>591</v>
      </c>
      <c r="D193" s="366"/>
      <c r="E193" s="367" t="s">
        <v>596</v>
      </c>
      <c r="F193" s="264">
        <f>(11/4+1)*6.25*0.668*1.2</f>
        <v>18.787500000000001</v>
      </c>
      <c r="G193" s="74">
        <v>0.1</v>
      </c>
      <c r="H193" s="75">
        <f t="shared" si="60"/>
        <v>20.666250000000002</v>
      </c>
      <c r="I193" s="76" t="s">
        <v>573</v>
      </c>
      <c r="J193" s="370">
        <f t="shared" si="62"/>
        <v>0</v>
      </c>
      <c r="K193" s="364">
        <f t="shared" si="61"/>
        <v>0</v>
      </c>
      <c r="L193" s="365"/>
    </row>
    <row r="194" spans="1:12" s="258" customFormat="1" ht="16.5" thickBot="1" x14ac:dyDescent="0.25">
      <c r="A194" s="72" t="str">
        <f>IF(F194&lt;&gt;"",1+MAX($A$1:A193),"")</f>
        <v/>
      </c>
      <c r="B194" s="83"/>
      <c r="C194" s="360"/>
      <c r="D194" s="366"/>
      <c r="E194" s="367"/>
      <c r="F194" s="368"/>
      <c r="G194" s="369"/>
      <c r="H194" s="75"/>
      <c r="I194" s="76"/>
      <c r="J194" s="370"/>
      <c r="K194" s="364"/>
      <c r="L194" s="365"/>
    </row>
    <row r="195" spans="1:12" s="258" customFormat="1" ht="63.75" thickBot="1" x14ac:dyDescent="0.25">
      <c r="A195" s="72" t="str">
        <f>IF(F195&lt;&gt;"",1+MAX($A$1:A194),"")</f>
        <v/>
      </c>
      <c r="B195" s="83"/>
      <c r="C195" s="360"/>
      <c r="D195" s="360"/>
      <c r="E195" s="429" t="s">
        <v>610</v>
      </c>
      <c r="F195" s="394"/>
      <c r="G195" s="369"/>
      <c r="H195" s="75"/>
      <c r="I195" s="76"/>
      <c r="J195" s="370"/>
      <c r="K195" s="364"/>
      <c r="L195" s="365"/>
    </row>
    <row r="196" spans="1:12" s="258" customFormat="1" x14ac:dyDescent="0.2">
      <c r="A196" s="72">
        <f>IF(F196&lt;&gt;"",1+MAX($A$1:A195),"")</f>
        <v>136</v>
      </c>
      <c r="B196" s="83" t="s">
        <v>569</v>
      </c>
      <c r="C196" s="360" t="s">
        <v>591</v>
      </c>
      <c r="D196" s="361"/>
      <c r="E196" s="362" t="s">
        <v>513</v>
      </c>
      <c r="F196" s="689">
        <f>6*2*1/27</f>
        <v>0.44444444444444442</v>
      </c>
      <c r="G196" s="74">
        <v>0.1</v>
      </c>
      <c r="H196" s="442">
        <f t="shared" ref="H196:H202" si="63">F196*(1+G196)</f>
        <v>0.48888888888888893</v>
      </c>
      <c r="I196" s="76" t="s">
        <v>458</v>
      </c>
      <c r="J196" s="370">
        <f>J$18</f>
        <v>0</v>
      </c>
      <c r="K196" s="364">
        <f t="shared" ref="K196:K202" si="64">J196*H196</f>
        <v>0</v>
      </c>
      <c r="L196" s="365"/>
    </row>
    <row r="197" spans="1:12" s="258" customFormat="1" x14ac:dyDescent="0.2">
      <c r="A197" s="72">
        <f>IF(F197&lt;&gt;"",1+MAX($A$1:A196),"")</f>
        <v>137</v>
      </c>
      <c r="B197" s="83" t="s">
        <v>569</v>
      </c>
      <c r="C197" s="360" t="s">
        <v>591</v>
      </c>
      <c r="D197" s="366"/>
      <c r="E197" s="372" t="s">
        <v>592</v>
      </c>
      <c r="F197" s="264">
        <f>6*1*2</f>
        <v>12</v>
      </c>
      <c r="G197" s="74">
        <v>0.1</v>
      </c>
      <c r="H197" s="75">
        <f t="shared" si="63"/>
        <v>13.200000000000001</v>
      </c>
      <c r="I197" s="76" t="s">
        <v>515</v>
      </c>
      <c r="J197" s="370">
        <f>J$75</f>
        <v>0</v>
      </c>
      <c r="K197" s="364">
        <f t="shared" si="64"/>
        <v>0</v>
      </c>
      <c r="L197" s="365"/>
    </row>
    <row r="198" spans="1:12" s="258" customFormat="1" x14ac:dyDescent="0.2">
      <c r="A198" s="72">
        <f>IF(F198&lt;&gt;"",1+MAX($A$1:A197),"")</f>
        <v>138</v>
      </c>
      <c r="B198" s="83" t="s">
        <v>569</v>
      </c>
      <c r="C198" s="360" t="s">
        <v>591</v>
      </c>
      <c r="D198" s="366"/>
      <c r="E198" s="372" t="s">
        <v>516</v>
      </c>
      <c r="F198" s="264">
        <f>6*3*5/27</f>
        <v>3.3333333333333335</v>
      </c>
      <c r="G198" s="74">
        <v>0.1</v>
      </c>
      <c r="H198" s="75">
        <f t="shared" si="63"/>
        <v>3.666666666666667</v>
      </c>
      <c r="I198" s="76" t="s">
        <v>458</v>
      </c>
      <c r="J198" s="370">
        <f>J$20</f>
        <v>0</v>
      </c>
      <c r="K198" s="364">
        <f t="shared" si="64"/>
        <v>0</v>
      </c>
      <c r="L198" s="365"/>
    </row>
    <row r="199" spans="1:12" s="258" customFormat="1" x14ac:dyDescent="0.2">
      <c r="A199" s="72">
        <f>IF(F199&lt;&gt;"",1+MAX($A$1:A198),"")</f>
        <v>139</v>
      </c>
      <c r="B199" s="83" t="s">
        <v>569</v>
      </c>
      <c r="C199" s="360" t="s">
        <v>591</v>
      </c>
      <c r="D199" s="366"/>
      <c r="E199" s="372" t="s">
        <v>517</v>
      </c>
      <c r="F199" s="264">
        <f>F198-F196-6*0.67*4/27</f>
        <v>2.2933333333333339</v>
      </c>
      <c r="G199" s="74">
        <v>0.1</v>
      </c>
      <c r="H199" s="75">
        <f t="shared" si="63"/>
        <v>2.5226666666666673</v>
      </c>
      <c r="I199" s="76" t="s">
        <v>458</v>
      </c>
      <c r="J199" s="370">
        <f>J$21</f>
        <v>0</v>
      </c>
      <c r="K199" s="364">
        <f t="shared" si="64"/>
        <v>0</v>
      </c>
      <c r="L199" s="365"/>
    </row>
    <row r="200" spans="1:12" s="258" customFormat="1" x14ac:dyDescent="0.2">
      <c r="A200" s="72">
        <f>IF(F200&lt;&gt;"",1+MAX($A$1:A199),"")</f>
        <v>140</v>
      </c>
      <c r="B200" s="83" t="s">
        <v>569</v>
      </c>
      <c r="C200" s="360" t="s">
        <v>591</v>
      </c>
      <c r="D200" s="366"/>
      <c r="E200" s="367" t="s">
        <v>593</v>
      </c>
      <c r="F200" s="264">
        <f>(6/1+1)*2*0.668*1.2</f>
        <v>11.2224</v>
      </c>
      <c r="G200" s="74">
        <v>0.1</v>
      </c>
      <c r="H200" s="75">
        <f t="shared" si="63"/>
        <v>12.344640000000002</v>
      </c>
      <c r="I200" s="76" t="s">
        <v>573</v>
      </c>
      <c r="J200" s="370">
        <f t="shared" ref="J200:J202" si="65">J$22</f>
        <v>0</v>
      </c>
      <c r="K200" s="364">
        <f t="shared" si="64"/>
        <v>0</v>
      </c>
      <c r="L200" s="365"/>
    </row>
    <row r="201" spans="1:12" s="258" customFormat="1" x14ac:dyDescent="0.2">
      <c r="A201" s="72">
        <f>IF(F201&lt;&gt;"",1+MAX($A$1:A200),"")</f>
        <v>141</v>
      </c>
      <c r="B201" s="83" t="s">
        <v>569</v>
      </c>
      <c r="C201" s="360" t="s">
        <v>591</v>
      </c>
      <c r="D201" s="366"/>
      <c r="E201" s="367" t="s">
        <v>594</v>
      </c>
      <c r="F201" s="264">
        <f>4*6*0.668*1.2</f>
        <v>19.238399999999999</v>
      </c>
      <c r="G201" s="74">
        <v>0.1</v>
      </c>
      <c r="H201" s="75">
        <f t="shared" si="63"/>
        <v>21.162240000000001</v>
      </c>
      <c r="I201" s="76" t="s">
        <v>573</v>
      </c>
      <c r="J201" s="370">
        <f t="shared" si="65"/>
        <v>0</v>
      </c>
      <c r="K201" s="364">
        <f t="shared" si="64"/>
        <v>0</v>
      </c>
      <c r="L201" s="365"/>
    </row>
    <row r="202" spans="1:12" s="258" customFormat="1" x14ac:dyDescent="0.2">
      <c r="A202" s="72">
        <f>IF(F202&lt;&gt;"",1+MAX($A$1:A201),"")</f>
        <v>142</v>
      </c>
      <c r="B202" s="83" t="s">
        <v>569</v>
      </c>
      <c r="C202" s="360" t="s">
        <v>591</v>
      </c>
      <c r="D202" s="366"/>
      <c r="E202" s="367" t="s">
        <v>596</v>
      </c>
      <c r="F202" s="264">
        <f>(6/4+1)*5*0.668*1.2</f>
        <v>10.02</v>
      </c>
      <c r="G202" s="74">
        <v>0.1</v>
      </c>
      <c r="H202" s="75">
        <f t="shared" si="63"/>
        <v>11.022</v>
      </c>
      <c r="I202" s="76" t="s">
        <v>573</v>
      </c>
      <c r="J202" s="370">
        <f t="shared" si="65"/>
        <v>0</v>
      </c>
      <c r="K202" s="364">
        <f t="shared" si="64"/>
        <v>0</v>
      </c>
      <c r="L202" s="365"/>
    </row>
    <row r="203" spans="1:12" s="258" customFormat="1" ht="16.5" thickBot="1" x14ac:dyDescent="0.25">
      <c r="A203" s="72" t="str">
        <f>IF(F203&lt;&gt;"",1+MAX($A$1:A202),"")</f>
        <v/>
      </c>
      <c r="B203" s="83"/>
      <c r="C203" s="360"/>
      <c r="D203" s="374"/>
      <c r="E203" s="431"/>
      <c r="F203" s="202"/>
      <c r="G203" s="203"/>
      <c r="H203" s="202"/>
      <c r="I203" s="204"/>
      <c r="J203" s="376"/>
      <c r="K203" s="377"/>
      <c r="L203" s="378"/>
    </row>
    <row r="204" spans="1:12" s="258" customFormat="1" ht="16.5" thickBot="1" x14ac:dyDescent="0.25">
      <c r="A204" s="72" t="str">
        <f>IF(F204&lt;&gt;"",1+MAX($A$1:A203),"")</f>
        <v/>
      </c>
      <c r="B204" s="366"/>
      <c r="C204" s="366"/>
      <c r="D204" s="379"/>
      <c r="E204" s="380" t="s">
        <v>611</v>
      </c>
      <c r="F204" s="368"/>
      <c r="G204" s="381"/>
      <c r="H204" s="75"/>
      <c r="I204" s="76"/>
      <c r="J204" s="382"/>
      <c r="K204" s="42"/>
      <c r="L204" s="383">
        <f>SUM(K72:K203)</f>
        <v>0</v>
      </c>
    </row>
    <row r="205" spans="1:12" s="258" customFormat="1" ht="16.5" thickBot="1" x14ac:dyDescent="0.25">
      <c r="A205" s="72" t="str">
        <f>IF(F205&lt;&gt;"",1+MAX($A$1:A204),"")</f>
        <v/>
      </c>
      <c r="B205" s="83"/>
      <c r="C205" s="360"/>
      <c r="D205" s="366"/>
      <c r="E205" s="367"/>
      <c r="F205" s="286"/>
      <c r="G205" s="369"/>
      <c r="H205" s="75"/>
      <c r="I205" s="76"/>
      <c r="J205" s="370"/>
      <c r="K205" s="364"/>
      <c r="L205" s="365"/>
    </row>
    <row r="206" spans="1:12" s="258" customFormat="1" ht="16.5" thickBot="1" x14ac:dyDescent="0.25">
      <c r="A206" s="72" t="str">
        <f>IF(F206&lt;&gt;"",1+MAX($A$1:A205),"")</f>
        <v/>
      </c>
      <c r="B206" s="83"/>
      <c r="C206" s="266"/>
      <c r="D206" s="384"/>
      <c r="E206" s="432" t="s">
        <v>612</v>
      </c>
      <c r="F206" s="385"/>
      <c r="G206" s="386"/>
      <c r="H206" s="287"/>
      <c r="I206" s="288"/>
      <c r="J206" s="387"/>
      <c r="K206" s="388"/>
      <c r="L206" s="365"/>
    </row>
    <row r="207" spans="1:12" s="258" customFormat="1" ht="47.25" x14ac:dyDescent="0.2">
      <c r="A207" s="72" t="str">
        <f>IF(F207&lt;&gt;"",1+MAX($A$1:A206),"")</f>
        <v/>
      </c>
      <c r="B207" s="83"/>
      <c r="C207" s="360"/>
      <c r="D207" s="366"/>
      <c r="E207" s="433" t="s">
        <v>613</v>
      </c>
      <c r="F207" s="264"/>
      <c r="G207" s="369"/>
      <c r="H207" s="75"/>
      <c r="I207" s="76"/>
      <c r="J207" s="370"/>
      <c r="K207" s="364"/>
      <c r="L207" s="365"/>
    </row>
    <row r="208" spans="1:12" s="258" customFormat="1" x14ac:dyDescent="0.2">
      <c r="A208" s="72">
        <f>IF(F208&lt;&gt;"",1+MAX($A$1:A207),"")</f>
        <v>143</v>
      </c>
      <c r="B208" s="83" t="s">
        <v>569</v>
      </c>
      <c r="C208" s="360" t="s">
        <v>614</v>
      </c>
      <c r="D208" s="366"/>
      <c r="E208" s="372" t="s">
        <v>513</v>
      </c>
      <c r="F208" s="264">
        <f>88*1/27-4*1/27</f>
        <v>3.1111111111111107</v>
      </c>
      <c r="G208" s="74">
        <v>0.1</v>
      </c>
      <c r="H208" s="75">
        <f t="shared" ref="H208:H215" si="66">F208*(1+G208)</f>
        <v>3.4222222222222221</v>
      </c>
      <c r="I208" s="76" t="s">
        <v>458</v>
      </c>
      <c r="J208" s="370">
        <f>J$18</f>
        <v>0</v>
      </c>
      <c r="K208" s="364">
        <f t="shared" ref="K208:K215" si="67">J208*H208</f>
        <v>0</v>
      </c>
      <c r="L208" s="365"/>
    </row>
    <row r="209" spans="1:12" s="258" customFormat="1" x14ac:dyDescent="0.2">
      <c r="A209" s="72">
        <f>IF(F209&lt;&gt;"",1+MAX($A$1:A208),"")</f>
        <v>144</v>
      </c>
      <c r="B209" s="83" t="s">
        <v>569</v>
      </c>
      <c r="C209" s="360" t="s">
        <v>614</v>
      </c>
      <c r="D209" s="434"/>
      <c r="E209" s="372" t="s">
        <v>615</v>
      </c>
      <c r="F209" s="264">
        <f>3.2*(88+3)</f>
        <v>291.2</v>
      </c>
      <c r="G209" s="74">
        <v>0.1</v>
      </c>
      <c r="H209" s="75">
        <f t="shared" si="66"/>
        <v>320.32</v>
      </c>
      <c r="I209" s="76" t="s">
        <v>573</v>
      </c>
      <c r="J209" s="370">
        <f t="shared" ref="J209:J210" si="68">J$22</f>
        <v>0</v>
      </c>
      <c r="K209" s="364">
        <f t="shared" si="67"/>
        <v>0</v>
      </c>
      <c r="L209" s="365"/>
    </row>
    <row r="210" spans="1:12" s="258" customFormat="1" x14ac:dyDescent="0.2">
      <c r="A210" s="72">
        <f>IF(F210&lt;&gt;"",1+MAX($A$1:A209),"")</f>
        <v>145</v>
      </c>
      <c r="B210" s="83" t="s">
        <v>569</v>
      </c>
      <c r="C210" s="360" t="s">
        <v>614</v>
      </c>
      <c r="D210" s="366"/>
      <c r="E210" s="372" t="s">
        <v>616</v>
      </c>
      <c r="F210" s="264">
        <f>(4/1+1)*3.25*0.668*1.2+(4/1+1)*4.25*0.668*1.2</f>
        <v>30.06</v>
      </c>
      <c r="G210" s="74">
        <v>0.1</v>
      </c>
      <c r="H210" s="75">
        <f t="shared" si="66"/>
        <v>33.066000000000003</v>
      </c>
      <c r="I210" s="76" t="s">
        <v>573</v>
      </c>
      <c r="J210" s="370">
        <f t="shared" si="68"/>
        <v>0</v>
      </c>
      <c r="K210" s="364">
        <f t="shared" si="67"/>
        <v>0</v>
      </c>
      <c r="L210" s="365"/>
    </row>
    <row r="211" spans="1:12" s="258" customFormat="1" x14ac:dyDescent="0.2">
      <c r="A211" s="72">
        <f>IF(F211&lt;&gt;"",1+MAX($A$1:A210),"")</f>
        <v>146</v>
      </c>
      <c r="B211" s="83" t="s">
        <v>569</v>
      </c>
      <c r="C211" s="360" t="s">
        <v>614</v>
      </c>
      <c r="D211" s="435"/>
      <c r="E211" s="372" t="s">
        <v>617</v>
      </c>
      <c r="F211" s="264">
        <f>29.5*1</f>
        <v>29.5</v>
      </c>
      <c r="G211" s="74">
        <v>0.1</v>
      </c>
      <c r="H211" s="75">
        <f t="shared" si="66"/>
        <v>32.450000000000003</v>
      </c>
      <c r="I211" s="76" t="s">
        <v>515</v>
      </c>
      <c r="J211" s="144">
        <v>0</v>
      </c>
      <c r="K211" s="364">
        <f t="shared" si="67"/>
        <v>0</v>
      </c>
      <c r="L211" s="365"/>
    </row>
    <row r="212" spans="1:12" s="258" customFormat="1" x14ac:dyDescent="0.2">
      <c r="A212" s="72">
        <f>IF(F212&lt;&gt;"",1+MAX($A$1:A211),"")</f>
        <v>147</v>
      </c>
      <c r="B212" s="83" t="s">
        <v>569</v>
      </c>
      <c r="C212" s="360" t="s">
        <v>614</v>
      </c>
      <c r="D212" s="435"/>
      <c r="E212" s="372" t="s">
        <v>618</v>
      </c>
      <c r="F212" s="264">
        <f>2*8+4</f>
        <v>20</v>
      </c>
      <c r="G212" s="74">
        <v>0.1</v>
      </c>
      <c r="H212" s="75">
        <f t="shared" si="66"/>
        <v>22</v>
      </c>
      <c r="I212" s="76" t="s">
        <v>515</v>
      </c>
      <c r="J212" s="144">
        <v>0</v>
      </c>
      <c r="K212" s="364">
        <f t="shared" si="67"/>
        <v>0</v>
      </c>
      <c r="L212" s="365"/>
    </row>
    <row r="213" spans="1:12" s="258" customFormat="1" x14ac:dyDescent="0.2">
      <c r="A213" s="72">
        <f>IF(F213&lt;&gt;"",1+MAX($A$1:A212),"")</f>
        <v>148</v>
      </c>
      <c r="B213" s="83" t="s">
        <v>569</v>
      </c>
      <c r="C213" s="360" t="s">
        <v>614</v>
      </c>
      <c r="D213" s="435"/>
      <c r="E213" s="372" t="s">
        <v>619</v>
      </c>
      <c r="F213" s="264">
        <f>8.5*3</f>
        <v>25.5</v>
      </c>
      <c r="G213" s="74">
        <v>0.1</v>
      </c>
      <c r="H213" s="75">
        <f t="shared" si="66"/>
        <v>28.05</v>
      </c>
      <c r="I213" s="76" t="s">
        <v>515</v>
      </c>
      <c r="J213" s="144">
        <v>0</v>
      </c>
      <c r="K213" s="364">
        <f t="shared" si="67"/>
        <v>0</v>
      </c>
      <c r="L213" s="365"/>
    </row>
    <row r="214" spans="1:12" s="258" customFormat="1" x14ac:dyDescent="0.2">
      <c r="A214" s="72">
        <f>IF(F214&lt;&gt;"",1+MAX($A$1:A213),"")</f>
        <v>149</v>
      </c>
      <c r="B214" s="83" t="s">
        <v>569</v>
      </c>
      <c r="C214" s="360" t="s">
        <v>614</v>
      </c>
      <c r="D214" s="366"/>
      <c r="E214" s="372" t="s">
        <v>620</v>
      </c>
      <c r="F214" s="264">
        <v>30.75</v>
      </c>
      <c r="G214" s="74">
        <v>0.1</v>
      </c>
      <c r="H214" s="75">
        <f t="shared" si="66"/>
        <v>33.825000000000003</v>
      </c>
      <c r="I214" s="76" t="s">
        <v>13</v>
      </c>
      <c r="J214" s="144">
        <v>0</v>
      </c>
      <c r="K214" s="364">
        <f t="shared" si="67"/>
        <v>0</v>
      </c>
      <c r="L214" s="365"/>
    </row>
    <row r="215" spans="1:12" s="258" customFormat="1" x14ac:dyDescent="0.2">
      <c r="A215" s="72">
        <f>IF(F215&lt;&gt;"",1+MAX($A$1:A214),"")</f>
        <v>150</v>
      </c>
      <c r="B215" s="83" t="s">
        <v>569</v>
      </c>
      <c r="C215" s="360" t="s">
        <v>614</v>
      </c>
      <c r="D215" s="366"/>
      <c r="E215" s="372" t="s">
        <v>621</v>
      </c>
      <c r="F215" s="264">
        <f>88+38*1.5+2.84*8+2*8.5</f>
        <v>184.72</v>
      </c>
      <c r="G215" s="74">
        <v>0.1</v>
      </c>
      <c r="H215" s="75">
        <f t="shared" si="66"/>
        <v>203.19200000000001</v>
      </c>
      <c r="I215" s="76" t="s">
        <v>16</v>
      </c>
      <c r="J215" s="215">
        <v>0</v>
      </c>
      <c r="K215" s="364">
        <f t="shared" si="67"/>
        <v>0</v>
      </c>
      <c r="L215" s="365"/>
    </row>
    <row r="216" spans="1:12" s="258" customFormat="1" ht="16.5" thickBot="1" x14ac:dyDescent="0.25">
      <c r="A216" s="72" t="str">
        <f>IF(F216&lt;&gt;"",1+MAX($A$1:A215),"")</f>
        <v/>
      </c>
      <c r="B216" s="83"/>
      <c r="C216" s="360"/>
      <c r="D216" s="366"/>
      <c r="E216" s="367"/>
      <c r="F216" s="286"/>
      <c r="G216" s="369"/>
      <c r="H216" s="75"/>
      <c r="I216" s="76"/>
      <c r="J216" s="370"/>
      <c r="K216" s="364"/>
      <c r="L216" s="365"/>
    </row>
    <row r="217" spans="1:12" s="258" customFormat="1" ht="16.5" thickBot="1" x14ac:dyDescent="0.25">
      <c r="A217" s="72" t="str">
        <f>IF(F217&lt;&gt;"",1+MAX($A$1:A216),"")</f>
        <v/>
      </c>
      <c r="B217" s="83"/>
      <c r="C217" s="266"/>
      <c r="D217" s="384"/>
      <c r="E217" s="432" t="s">
        <v>622</v>
      </c>
      <c r="F217" s="385"/>
      <c r="G217" s="386"/>
      <c r="H217" s="287"/>
      <c r="I217" s="288"/>
      <c r="J217" s="387"/>
      <c r="K217" s="388"/>
      <c r="L217" s="365"/>
    </row>
    <row r="218" spans="1:12" s="258" customFormat="1" ht="47.25" x14ac:dyDescent="0.2">
      <c r="A218" s="72" t="str">
        <f>IF(F218&lt;&gt;"",1+MAX($A$1:A217),"")</f>
        <v/>
      </c>
      <c r="B218" s="83"/>
      <c r="C218" s="360"/>
      <c r="D218" s="366"/>
      <c r="E218" s="433" t="s">
        <v>623</v>
      </c>
      <c r="F218" s="264"/>
      <c r="G218" s="369"/>
      <c r="H218" s="75"/>
      <c r="I218" s="76"/>
      <c r="J218" s="370"/>
      <c r="K218" s="364"/>
      <c r="L218" s="365"/>
    </row>
    <row r="219" spans="1:12" s="258" customFormat="1" x14ac:dyDescent="0.2">
      <c r="A219" s="72">
        <f>IF(F219&lt;&gt;"",1+MAX($A$1:A218),"")</f>
        <v>151</v>
      </c>
      <c r="B219" s="83" t="s">
        <v>569</v>
      </c>
      <c r="C219" s="360" t="s">
        <v>614</v>
      </c>
      <c r="D219" s="366"/>
      <c r="E219" s="372" t="s">
        <v>513</v>
      </c>
      <c r="F219" s="264">
        <f>30.75*0.67*4.34/27</f>
        <v>3.3116611111111118</v>
      </c>
      <c r="G219" s="74">
        <v>0.1</v>
      </c>
      <c r="H219" s="75">
        <f t="shared" ref="H219:H227" si="69">F219*(1+G219)</f>
        <v>3.6428272222222233</v>
      </c>
      <c r="I219" s="76" t="s">
        <v>458</v>
      </c>
      <c r="J219" s="370">
        <f>J$18</f>
        <v>0</v>
      </c>
      <c r="K219" s="364">
        <f t="shared" ref="K219:K227" si="70">J219*H219</f>
        <v>0</v>
      </c>
      <c r="L219" s="365"/>
    </row>
    <row r="220" spans="1:12" s="258" customFormat="1" x14ac:dyDescent="0.2">
      <c r="A220" s="72">
        <f>IF(F220&lt;&gt;"",1+MAX($A$1:A219),"")</f>
        <v>152</v>
      </c>
      <c r="B220" s="83" t="s">
        <v>569</v>
      </c>
      <c r="C220" s="360" t="s">
        <v>614</v>
      </c>
      <c r="D220" s="366"/>
      <c r="E220" s="372" t="s">
        <v>624</v>
      </c>
      <c r="F220" s="264">
        <f>(30.75/4+1)*5*1.043*1.2</f>
        <v>54.366374999999998</v>
      </c>
      <c r="G220" s="74">
        <v>0.1</v>
      </c>
      <c r="H220" s="75">
        <f t="shared" si="69"/>
        <v>59.803012500000001</v>
      </c>
      <c r="I220" s="76" t="s">
        <v>573</v>
      </c>
      <c r="J220" s="370">
        <f t="shared" ref="J220:J222" si="71">J$22</f>
        <v>0</v>
      </c>
      <c r="K220" s="364">
        <f t="shared" si="70"/>
        <v>0</v>
      </c>
      <c r="L220" s="365"/>
    </row>
    <row r="221" spans="1:12" s="258" customFormat="1" x14ac:dyDescent="0.2">
      <c r="A221" s="72">
        <f>IF(F221&lt;&gt;"",1+MAX($A$1:A220),"")</f>
        <v>153</v>
      </c>
      <c r="B221" s="83" t="s">
        <v>569</v>
      </c>
      <c r="C221" s="360" t="s">
        <v>614</v>
      </c>
      <c r="D221" s="366"/>
      <c r="E221" s="372" t="s">
        <v>625</v>
      </c>
      <c r="F221" s="264">
        <f>(24.25/1+1)*5.84*0.668*1.2*2+(7.84/1+1)*7.84*0.668*1.2*2</f>
        <v>347.51860992000002</v>
      </c>
      <c r="G221" s="74">
        <v>0.1</v>
      </c>
      <c r="H221" s="75">
        <f t="shared" si="69"/>
        <v>382.27047091200006</v>
      </c>
      <c r="I221" s="76" t="s">
        <v>573</v>
      </c>
      <c r="J221" s="370">
        <f t="shared" si="71"/>
        <v>0</v>
      </c>
      <c r="K221" s="364">
        <f t="shared" si="70"/>
        <v>0</v>
      </c>
      <c r="L221" s="365"/>
    </row>
    <row r="222" spans="1:12" s="258" customFormat="1" x14ac:dyDescent="0.2">
      <c r="A222" s="72">
        <f>IF(F222&lt;&gt;"",1+MAX($A$1:A221),"")</f>
        <v>154</v>
      </c>
      <c r="B222" s="83" t="s">
        <v>569</v>
      </c>
      <c r="C222" s="360" t="s">
        <v>614</v>
      </c>
      <c r="D222" s="366"/>
      <c r="E222" s="372" t="s">
        <v>626</v>
      </c>
      <c r="F222" s="264">
        <f>(4.34/1+1)*30.75*0.668*1.2*2</f>
        <v>263.25345599999997</v>
      </c>
      <c r="G222" s="74">
        <v>0.1</v>
      </c>
      <c r="H222" s="75">
        <f t="shared" si="69"/>
        <v>289.57880160000002</v>
      </c>
      <c r="I222" s="76" t="s">
        <v>573</v>
      </c>
      <c r="J222" s="370">
        <f t="shared" si="71"/>
        <v>0</v>
      </c>
      <c r="K222" s="364">
        <f t="shared" si="70"/>
        <v>0</v>
      </c>
      <c r="L222" s="365"/>
    </row>
    <row r="223" spans="1:12" s="258" customFormat="1" x14ac:dyDescent="0.2">
      <c r="A223" s="72">
        <f>IF(F223&lt;&gt;"",1+MAX($A$1:A222),"")</f>
        <v>155</v>
      </c>
      <c r="B223" s="83" t="s">
        <v>569</v>
      </c>
      <c r="C223" s="360" t="s">
        <v>614</v>
      </c>
      <c r="D223" s="366"/>
      <c r="E223" s="372" t="s">
        <v>627</v>
      </c>
      <c r="F223" s="264">
        <f>30.75*4.34*2</f>
        <v>266.90999999999997</v>
      </c>
      <c r="G223" s="74">
        <v>0.1</v>
      </c>
      <c r="H223" s="75">
        <f t="shared" si="69"/>
        <v>293.601</v>
      </c>
      <c r="I223" s="76" t="s">
        <v>515</v>
      </c>
      <c r="J223" s="144">
        <v>0</v>
      </c>
      <c r="K223" s="364">
        <f t="shared" si="70"/>
        <v>0</v>
      </c>
      <c r="L223" s="365"/>
    </row>
    <row r="224" spans="1:12" s="258" customFormat="1" x14ac:dyDescent="0.2">
      <c r="A224" s="72">
        <f>IF(F224&lt;&gt;"",1+MAX($A$1:A223),"")</f>
        <v>156</v>
      </c>
      <c r="B224" s="83" t="s">
        <v>569</v>
      </c>
      <c r="C224" s="360" t="s">
        <v>614</v>
      </c>
      <c r="D224" s="366"/>
      <c r="E224" s="372" t="s">
        <v>628</v>
      </c>
      <c r="F224" s="264">
        <v>30.75</v>
      </c>
      <c r="G224" s="74">
        <v>0.1</v>
      </c>
      <c r="H224" s="75">
        <f t="shared" si="69"/>
        <v>33.825000000000003</v>
      </c>
      <c r="I224" s="76" t="s">
        <v>13</v>
      </c>
      <c r="J224" s="144">
        <v>0</v>
      </c>
      <c r="K224" s="364">
        <f t="shared" si="70"/>
        <v>0</v>
      </c>
      <c r="L224" s="365"/>
    </row>
    <row r="225" spans="1:12" s="258" customFormat="1" x14ac:dyDescent="0.2">
      <c r="A225" s="72">
        <f>IF(F225&lt;&gt;"",1+MAX($A$1:A224),"")</f>
        <v>157</v>
      </c>
      <c r="B225" s="83" t="s">
        <v>569</v>
      </c>
      <c r="C225" s="360" t="s">
        <v>614</v>
      </c>
      <c r="D225" s="366"/>
      <c r="E225" s="372" t="s">
        <v>620</v>
      </c>
      <c r="F225" s="264">
        <f>F224</f>
        <v>30.75</v>
      </c>
      <c r="G225" s="74">
        <v>0.1</v>
      </c>
      <c r="H225" s="75">
        <f t="shared" si="69"/>
        <v>33.825000000000003</v>
      </c>
      <c r="I225" s="76" t="s">
        <v>13</v>
      </c>
      <c r="J225" s="370">
        <f>J$214</f>
        <v>0</v>
      </c>
      <c r="K225" s="364">
        <f t="shared" si="70"/>
        <v>0</v>
      </c>
      <c r="L225" s="365"/>
    </row>
    <row r="226" spans="1:12" s="258" customFormat="1" x14ac:dyDescent="0.2">
      <c r="A226" s="72">
        <f>IF(F226&lt;&gt;"",1+MAX($A$1:A225),"")</f>
        <v>158</v>
      </c>
      <c r="B226" s="83" t="s">
        <v>569</v>
      </c>
      <c r="C226" s="360" t="s">
        <v>614</v>
      </c>
      <c r="D226" s="366"/>
      <c r="E226" s="372" t="s">
        <v>621</v>
      </c>
      <c r="F226" s="264">
        <f>30.75*4.34</f>
        <v>133.45499999999998</v>
      </c>
      <c r="G226" s="74">
        <v>0.1</v>
      </c>
      <c r="H226" s="75">
        <f t="shared" si="69"/>
        <v>146.8005</v>
      </c>
      <c r="I226" s="76" t="s">
        <v>16</v>
      </c>
      <c r="J226" s="370">
        <f>J$215</f>
        <v>0</v>
      </c>
      <c r="K226" s="364">
        <f t="shared" si="70"/>
        <v>0</v>
      </c>
      <c r="L226" s="365"/>
    </row>
    <row r="227" spans="1:12" s="258" customFormat="1" ht="63" x14ac:dyDescent="0.2">
      <c r="A227" s="72">
        <f>IF(F227&lt;&gt;"",1+MAX($A$1:A226),"")</f>
        <v>159</v>
      </c>
      <c r="B227" s="83" t="s">
        <v>569</v>
      </c>
      <c r="C227" s="360" t="s">
        <v>614</v>
      </c>
      <c r="D227" s="366"/>
      <c r="E227" s="372" t="s">
        <v>629</v>
      </c>
      <c r="F227" s="264">
        <v>1</v>
      </c>
      <c r="G227" s="369">
        <v>0</v>
      </c>
      <c r="H227" s="75">
        <f t="shared" si="69"/>
        <v>1</v>
      </c>
      <c r="I227" s="76" t="s">
        <v>18</v>
      </c>
      <c r="J227" s="144">
        <v>0</v>
      </c>
      <c r="K227" s="364">
        <f t="shared" si="70"/>
        <v>0</v>
      </c>
      <c r="L227" s="365"/>
    </row>
    <row r="228" spans="1:12" s="258" customFormat="1" ht="16.5" thickBot="1" x14ac:dyDescent="0.25">
      <c r="A228" s="72" t="str">
        <f>IF(F228&lt;&gt;"",1+MAX($A$1:A227),"")</f>
        <v/>
      </c>
      <c r="B228" s="83"/>
      <c r="C228" s="360"/>
      <c r="D228" s="374"/>
      <c r="E228" s="375"/>
      <c r="F228" s="202"/>
      <c r="G228" s="203"/>
      <c r="H228" s="202"/>
      <c r="I228" s="204"/>
      <c r="J228" s="376"/>
      <c r="K228" s="377"/>
      <c r="L228" s="378"/>
    </row>
    <row r="229" spans="1:12" s="258" customFormat="1" ht="16.5" thickBot="1" x14ac:dyDescent="0.25">
      <c r="A229" s="72" t="str">
        <f>IF(F229&lt;&gt;"",1+MAX($A$1:A228),"")</f>
        <v/>
      </c>
      <c r="B229" s="366"/>
      <c r="C229" s="366"/>
      <c r="D229" s="379"/>
      <c r="E229" s="380" t="s">
        <v>630</v>
      </c>
      <c r="F229" s="368"/>
      <c r="G229" s="381"/>
      <c r="H229" s="75"/>
      <c r="I229" s="76"/>
      <c r="J229" s="382"/>
      <c r="K229" s="42"/>
      <c r="L229" s="383">
        <f>SUM(K205:K228)</f>
        <v>0</v>
      </c>
    </row>
    <row r="230" spans="1:12" s="258" customFormat="1" ht="16.5" thickBot="1" x14ac:dyDescent="0.25">
      <c r="A230" s="72" t="str">
        <f>IF(F230&lt;&gt;"",1+MAX($A$1:A229),"")</f>
        <v/>
      </c>
      <c r="B230" s="83"/>
      <c r="C230" s="360"/>
      <c r="D230" s="366"/>
      <c r="E230" s="367"/>
      <c r="F230" s="286"/>
      <c r="G230" s="369"/>
      <c r="H230" s="75"/>
      <c r="I230" s="76"/>
      <c r="J230" s="370"/>
      <c r="K230" s="364"/>
      <c r="L230" s="365"/>
    </row>
    <row r="231" spans="1:12" s="258" customFormat="1" ht="16.5" thickBot="1" x14ac:dyDescent="0.25">
      <c r="A231" s="72" t="str">
        <f>IF(F231&lt;&gt;"",1+MAX($A$1:A230),"")</f>
        <v/>
      </c>
      <c r="B231" s="83"/>
      <c r="C231" s="266"/>
      <c r="D231" s="384"/>
      <c r="E231" s="432" t="s">
        <v>631</v>
      </c>
      <c r="F231" s="385"/>
      <c r="G231" s="386"/>
      <c r="H231" s="287"/>
      <c r="I231" s="288"/>
      <c r="J231" s="387"/>
      <c r="K231" s="388"/>
      <c r="L231" s="365"/>
    </row>
    <row r="232" spans="1:12" s="258" customFormat="1" ht="31.5" x14ac:dyDescent="0.2">
      <c r="A232" s="72">
        <f>IF(F232&lt;&gt;"",1+MAX($A$1:A231),"")</f>
        <v>160</v>
      </c>
      <c r="B232" s="83" t="s">
        <v>569</v>
      </c>
      <c r="C232" s="83" t="s">
        <v>569</v>
      </c>
      <c r="D232" s="436">
        <f>H232*0.334/27</f>
        <v>6.1641555555555563</v>
      </c>
      <c r="E232" s="372" t="s">
        <v>632</v>
      </c>
      <c r="F232" s="264">
        <v>453</v>
      </c>
      <c r="G232" s="74">
        <v>0.1</v>
      </c>
      <c r="H232" s="75">
        <f t="shared" ref="H232:H251" si="72">F232*(1+G232)</f>
        <v>498.30000000000007</v>
      </c>
      <c r="I232" s="76" t="s">
        <v>16</v>
      </c>
      <c r="J232" s="144">
        <v>0</v>
      </c>
      <c r="K232" s="364">
        <f t="shared" ref="K232:K251" si="73">J232*H232</f>
        <v>0</v>
      </c>
      <c r="L232" s="365"/>
    </row>
    <row r="233" spans="1:12" s="258" customFormat="1" x14ac:dyDescent="0.2">
      <c r="A233" s="72">
        <f>IF(F233&lt;&gt;"",1+MAX($A$1:A232),"")</f>
        <v>161</v>
      </c>
      <c r="B233" s="83" t="s">
        <v>569</v>
      </c>
      <c r="C233" s="83" t="s">
        <v>569</v>
      </c>
      <c r="D233" s="366"/>
      <c r="E233" s="372" t="s">
        <v>633</v>
      </c>
      <c r="F233" s="264">
        <f>F232*0.5/27</f>
        <v>8.3888888888888893</v>
      </c>
      <c r="G233" s="74">
        <v>0.1</v>
      </c>
      <c r="H233" s="75">
        <f t="shared" si="72"/>
        <v>9.2277777777777796</v>
      </c>
      <c r="I233" s="76" t="s">
        <v>458</v>
      </c>
      <c r="J233" s="144">
        <v>0</v>
      </c>
      <c r="K233" s="364">
        <f t="shared" si="73"/>
        <v>0</v>
      </c>
      <c r="L233" s="365"/>
    </row>
    <row r="234" spans="1:12" s="258" customFormat="1" x14ac:dyDescent="0.2">
      <c r="A234" s="72">
        <f>IF(F234&lt;&gt;"",1+MAX($A$1:A233),"")</f>
        <v>162</v>
      </c>
      <c r="B234" s="83" t="s">
        <v>569</v>
      </c>
      <c r="C234" s="83" t="s">
        <v>569</v>
      </c>
      <c r="D234" s="437"/>
      <c r="E234" s="372" t="s">
        <v>634</v>
      </c>
      <c r="F234" s="264">
        <f>F232</f>
        <v>453</v>
      </c>
      <c r="G234" s="74">
        <v>0.1</v>
      </c>
      <c r="H234" s="75">
        <f t="shared" si="72"/>
        <v>498.30000000000007</v>
      </c>
      <c r="I234" s="76" t="s">
        <v>16</v>
      </c>
      <c r="J234" s="144">
        <v>0</v>
      </c>
      <c r="K234" s="364">
        <f t="shared" si="73"/>
        <v>0</v>
      </c>
      <c r="L234" s="365"/>
    </row>
    <row r="235" spans="1:12" s="258" customFormat="1" x14ac:dyDescent="0.2">
      <c r="A235" s="72">
        <f>IF(F235&lt;&gt;"",1+MAX($A$1:A234),"")</f>
        <v>163</v>
      </c>
      <c r="B235" s="83" t="s">
        <v>569</v>
      </c>
      <c r="C235" s="83" t="s">
        <v>569</v>
      </c>
      <c r="D235" s="366"/>
      <c r="E235" s="372" t="s">
        <v>635</v>
      </c>
      <c r="F235" s="264">
        <f>0.16*F232</f>
        <v>72.48</v>
      </c>
      <c r="G235" s="74">
        <v>0.1</v>
      </c>
      <c r="H235" s="75">
        <f t="shared" si="72"/>
        <v>79.728000000000009</v>
      </c>
      <c r="I235" s="76" t="s">
        <v>13</v>
      </c>
      <c r="J235" s="144">
        <v>0</v>
      </c>
      <c r="K235" s="364">
        <f t="shared" si="73"/>
        <v>0</v>
      </c>
      <c r="L235" s="365"/>
    </row>
    <row r="236" spans="1:12" s="258" customFormat="1" x14ac:dyDescent="0.2">
      <c r="A236" s="72">
        <f>IF(F236&lt;&gt;"",1+MAX($A$1:A235),"")</f>
        <v>164</v>
      </c>
      <c r="B236" s="83" t="s">
        <v>569</v>
      </c>
      <c r="C236" s="83" t="s">
        <v>569</v>
      </c>
      <c r="D236" s="366"/>
      <c r="E236" s="372" t="s">
        <v>636</v>
      </c>
      <c r="F236" s="264">
        <f>0.08*F232</f>
        <v>36.24</v>
      </c>
      <c r="G236" s="74">
        <v>0.1</v>
      </c>
      <c r="H236" s="75">
        <f t="shared" si="72"/>
        <v>39.864000000000004</v>
      </c>
      <c r="I236" s="76" t="s">
        <v>13</v>
      </c>
      <c r="J236" s="144">
        <v>0</v>
      </c>
      <c r="K236" s="364">
        <f t="shared" si="73"/>
        <v>0</v>
      </c>
      <c r="L236" s="365"/>
    </row>
    <row r="237" spans="1:12" s="351" customFormat="1" x14ac:dyDescent="0.2">
      <c r="A237" s="72" t="str">
        <f>IF(F237&lt;&gt;"",1+MAX($A$1:A236),"")</f>
        <v/>
      </c>
      <c r="B237" s="83"/>
      <c r="C237" s="360"/>
      <c r="D237" s="366"/>
      <c r="E237" s="438" t="s">
        <v>637</v>
      </c>
      <c r="F237" s="81"/>
      <c r="G237" s="369"/>
      <c r="H237" s="82"/>
      <c r="I237" s="83"/>
      <c r="J237" s="439"/>
      <c r="K237" s="440"/>
      <c r="L237" s="365"/>
    </row>
    <row r="238" spans="1:12" s="258" customFormat="1" x14ac:dyDescent="0.2">
      <c r="A238" s="72">
        <f>IF(F238&lt;&gt;"",1+MAX($A$1:A237),"")</f>
        <v>165</v>
      </c>
      <c r="B238" s="83" t="s">
        <v>569</v>
      </c>
      <c r="C238" s="83" t="s">
        <v>591</v>
      </c>
      <c r="D238" s="366"/>
      <c r="E238" s="372" t="s">
        <v>513</v>
      </c>
      <c r="F238" s="264">
        <f>0.4*F239/27</f>
        <v>3.4256296296296296</v>
      </c>
      <c r="G238" s="74">
        <v>0.1</v>
      </c>
      <c r="H238" s="75">
        <f t="shared" si="72"/>
        <v>3.7681925925925928</v>
      </c>
      <c r="I238" s="76" t="s">
        <v>458</v>
      </c>
      <c r="J238" s="370">
        <f>J$18</f>
        <v>0</v>
      </c>
      <c r="K238" s="364">
        <f t="shared" si="73"/>
        <v>0</v>
      </c>
      <c r="L238" s="365"/>
    </row>
    <row r="239" spans="1:12" s="258" customFormat="1" x14ac:dyDescent="0.2">
      <c r="A239" s="72">
        <f>IF(F239&lt;&gt;"",1+MAX($A$1:A238),"")</f>
        <v>166</v>
      </c>
      <c r="B239" s="83" t="s">
        <v>569</v>
      </c>
      <c r="C239" s="83" t="s">
        <v>591</v>
      </c>
      <c r="D239" s="366"/>
      <c r="E239" s="372" t="s">
        <v>638</v>
      </c>
      <c r="F239" s="264">
        <v>231.23</v>
      </c>
      <c r="G239" s="74">
        <v>0.1</v>
      </c>
      <c r="H239" s="75">
        <f t="shared" si="72"/>
        <v>254.35300000000001</v>
      </c>
      <c r="I239" s="76" t="s">
        <v>13</v>
      </c>
      <c r="J239" s="144">
        <v>0</v>
      </c>
      <c r="K239" s="364">
        <f t="shared" si="73"/>
        <v>0</v>
      </c>
      <c r="L239" s="365"/>
    </row>
    <row r="240" spans="1:12" s="258" customFormat="1" x14ac:dyDescent="0.2">
      <c r="A240" s="72">
        <f>IF(F240&lt;&gt;"",1+MAX($A$1:A239),"")</f>
        <v>167</v>
      </c>
      <c r="B240" s="83" t="s">
        <v>569</v>
      </c>
      <c r="C240" s="83" t="s">
        <v>591</v>
      </c>
      <c r="D240" s="366"/>
      <c r="E240" s="372" t="s">
        <v>516</v>
      </c>
      <c r="F240" s="264">
        <f>F238</f>
        <v>3.4256296296296296</v>
      </c>
      <c r="G240" s="74">
        <v>0.1</v>
      </c>
      <c r="H240" s="75">
        <f t="shared" si="72"/>
        <v>3.7681925925925928</v>
      </c>
      <c r="I240" s="76" t="s">
        <v>458</v>
      </c>
      <c r="J240" s="370">
        <f>J$20</f>
        <v>0</v>
      </c>
      <c r="K240" s="364">
        <f t="shared" si="73"/>
        <v>0</v>
      </c>
      <c r="L240" s="365"/>
    </row>
    <row r="241" spans="1:12" s="258" customFormat="1" ht="16.5" thickBot="1" x14ac:dyDescent="0.25">
      <c r="A241" s="72" t="str">
        <f>IF(F241&lt;&gt;"",1+MAX($A$1:A240),"")</f>
        <v/>
      </c>
      <c r="B241" s="83"/>
      <c r="C241" s="360"/>
      <c r="D241" s="374"/>
      <c r="E241" s="375"/>
      <c r="F241" s="202"/>
      <c r="G241" s="203"/>
      <c r="H241" s="202"/>
      <c r="I241" s="204"/>
      <c r="J241" s="376"/>
      <c r="K241" s="377"/>
      <c r="L241" s="378"/>
    </row>
    <row r="242" spans="1:12" s="258" customFormat="1" ht="16.5" thickBot="1" x14ac:dyDescent="0.25">
      <c r="A242" s="72" t="str">
        <f>IF(F242&lt;&gt;"",1+MAX($A$1:A241),"")</f>
        <v/>
      </c>
      <c r="B242" s="366"/>
      <c r="C242" s="366"/>
      <c r="D242" s="379"/>
      <c r="E242" s="380" t="s">
        <v>639</v>
      </c>
      <c r="F242" s="368"/>
      <c r="G242" s="381"/>
      <c r="H242" s="75"/>
      <c r="I242" s="76"/>
      <c r="J242" s="382"/>
      <c r="K242" s="42"/>
      <c r="L242" s="383">
        <f>SUM(K231:K241)</f>
        <v>0</v>
      </c>
    </row>
    <row r="243" spans="1:12" s="258" customFormat="1" ht="16.5" thickBot="1" x14ac:dyDescent="0.25">
      <c r="A243" s="72" t="str">
        <f>IF(F243&lt;&gt;"",1+MAX($A$1:A242),"")</f>
        <v/>
      </c>
      <c r="B243" s="83"/>
      <c r="C243" s="360"/>
      <c r="D243" s="366"/>
      <c r="E243" s="367"/>
      <c r="F243" s="286"/>
      <c r="G243" s="369"/>
      <c r="H243" s="75"/>
      <c r="I243" s="76"/>
      <c r="J243" s="370"/>
      <c r="K243" s="364"/>
      <c r="L243" s="365"/>
    </row>
    <row r="244" spans="1:12" s="258" customFormat="1" ht="16.5" thickBot="1" x14ac:dyDescent="0.25">
      <c r="A244" s="72" t="str">
        <f>IF(F244&lt;&gt;"",1+MAX($A$1:A243),"")</f>
        <v/>
      </c>
      <c r="B244" s="83"/>
      <c r="C244" s="266"/>
      <c r="D244" s="384"/>
      <c r="E244" s="432" t="s">
        <v>640</v>
      </c>
      <c r="F244" s="385"/>
      <c r="G244" s="386"/>
      <c r="H244" s="287"/>
      <c r="I244" s="288"/>
      <c r="J244" s="387"/>
      <c r="K244" s="388"/>
      <c r="L244" s="365"/>
    </row>
    <row r="245" spans="1:12" s="258" customFormat="1" x14ac:dyDescent="0.2">
      <c r="A245" s="72">
        <f>IF(F245&lt;&gt;"",1+MAX($A$1:A244),"")</f>
        <v>168</v>
      </c>
      <c r="B245" s="83" t="s">
        <v>569</v>
      </c>
      <c r="C245" s="360" t="s">
        <v>591</v>
      </c>
      <c r="D245" s="366"/>
      <c r="E245" s="372" t="s">
        <v>513</v>
      </c>
      <c r="F245" s="391">
        <f>6*2*15/27</f>
        <v>6.666666666666667</v>
      </c>
      <c r="G245" s="74">
        <v>0.1</v>
      </c>
      <c r="H245" s="75">
        <f t="shared" si="72"/>
        <v>7.3333333333333339</v>
      </c>
      <c r="I245" s="76" t="s">
        <v>458</v>
      </c>
      <c r="J245" s="370">
        <f>J$18</f>
        <v>0</v>
      </c>
      <c r="K245" s="364">
        <f t="shared" si="73"/>
        <v>0</v>
      </c>
      <c r="L245" s="365"/>
    </row>
    <row r="246" spans="1:12" s="258" customFormat="1" x14ac:dyDescent="0.2">
      <c r="A246" s="72">
        <f>IF(F246&lt;&gt;"",1+MAX($A$1:A245),"")</f>
        <v>169</v>
      </c>
      <c r="B246" s="83" t="s">
        <v>569</v>
      </c>
      <c r="C246" s="360" t="s">
        <v>591</v>
      </c>
      <c r="D246" s="366"/>
      <c r="E246" s="372" t="s">
        <v>641</v>
      </c>
      <c r="F246" s="264">
        <f>6*15*2+2*1*15</f>
        <v>210</v>
      </c>
      <c r="G246" s="74">
        <v>0.1</v>
      </c>
      <c r="H246" s="75">
        <f t="shared" si="72"/>
        <v>231.00000000000003</v>
      </c>
      <c r="I246" s="76" t="s">
        <v>515</v>
      </c>
      <c r="J246" s="144">
        <v>0</v>
      </c>
      <c r="K246" s="364">
        <f t="shared" si="73"/>
        <v>0</v>
      </c>
      <c r="L246" s="365"/>
    </row>
    <row r="247" spans="1:12" s="258" customFormat="1" x14ac:dyDescent="0.2">
      <c r="A247" s="72">
        <f>IF(F247&lt;&gt;"",1+MAX($A$1:A246),"")</f>
        <v>170</v>
      </c>
      <c r="B247" s="83" t="s">
        <v>569</v>
      </c>
      <c r="C247" s="360" t="s">
        <v>591</v>
      </c>
      <c r="D247" s="366"/>
      <c r="E247" s="372" t="s">
        <v>516</v>
      </c>
      <c r="F247" s="441">
        <f>F245</f>
        <v>6.666666666666667</v>
      </c>
      <c r="G247" s="74">
        <v>0.1</v>
      </c>
      <c r="H247" s="442">
        <f t="shared" si="72"/>
        <v>7.3333333333333339</v>
      </c>
      <c r="I247" s="76" t="s">
        <v>458</v>
      </c>
      <c r="J247" s="370">
        <f>J$20</f>
        <v>0</v>
      </c>
      <c r="K247" s="364">
        <f t="shared" si="73"/>
        <v>0</v>
      </c>
      <c r="L247" s="365"/>
    </row>
    <row r="248" spans="1:12" s="258" customFormat="1" x14ac:dyDescent="0.2">
      <c r="A248" s="72">
        <f>IF(F248&lt;&gt;"",1+MAX($A$1:A247),"")</f>
        <v>171</v>
      </c>
      <c r="B248" s="83" t="s">
        <v>569</v>
      </c>
      <c r="C248" s="360" t="s">
        <v>591</v>
      </c>
      <c r="D248" s="366"/>
      <c r="E248" s="367" t="s">
        <v>593</v>
      </c>
      <c r="F248" s="264">
        <f>(5.5/1+1)*2*0.668*1.2*15</f>
        <v>156.31200000000001</v>
      </c>
      <c r="G248" s="74">
        <v>0.1</v>
      </c>
      <c r="H248" s="75">
        <f t="shared" si="72"/>
        <v>171.94320000000002</v>
      </c>
      <c r="I248" s="76" t="s">
        <v>573</v>
      </c>
      <c r="J248" s="370">
        <f t="shared" ref="J248:J250" si="74">J$22</f>
        <v>0</v>
      </c>
      <c r="K248" s="364">
        <f t="shared" si="73"/>
        <v>0</v>
      </c>
      <c r="L248" s="365"/>
    </row>
    <row r="249" spans="1:12" s="258" customFormat="1" x14ac:dyDescent="0.2">
      <c r="A249" s="72">
        <f>IF(F249&lt;&gt;"",1+MAX($A$1:A248),"")</f>
        <v>172</v>
      </c>
      <c r="B249" s="83" t="s">
        <v>569</v>
      </c>
      <c r="C249" s="360" t="s">
        <v>591</v>
      </c>
      <c r="D249" s="366"/>
      <c r="E249" s="367" t="s">
        <v>594</v>
      </c>
      <c r="F249" s="264">
        <f>4*15*0.668*1.2*15</f>
        <v>721.44</v>
      </c>
      <c r="G249" s="74">
        <v>0.1</v>
      </c>
      <c r="H249" s="75">
        <f t="shared" si="72"/>
        <v>793.58400000000017</v>
      </c>
      <c r="I249" s="76" t="s">
        <v>573</v>
      </c>
      <c r="J249" s="370">
        <f t="shared" si="74"/>
        <v>0</v>
      </c>
      <c r="K249" s="364">
        <f t="shared" si="73"/>
        <v>0</v>
      </c>
      <c r="L249" s="365"/>
    </row>
    <row r="250" spans="1:12" s="258" customFormat="1" x14ac:dyDescent="0.2">
      <c r="A250" s="72">
        <f>IF(F250&lt;&gt;"",1+MAX($A$1:A249),"")</f>
        <v>173</v>
      </c>
      <c r="B250" s="83" t="s">
        <v>569</v>
      </c>
      <c r="C250" s="360" t="s">
        <v>591</v>
      </c>
      <c r="D250" s="366"/>
      <c r="E250" s="392" t="s">
        <v>596</v>
      </c>
      <c r="F250" s="264">
        <f>(5.5/4+1)*3*0.668*1.2*15</f>
        <v>85.671000000000006</v>
      </c>
      <c r="G250" s="74">
        <v>0.1</v>
      </c>
      <c r="H250" s="75">
        <f t="shared" si="72"/>
        <v>94.238100000000017</v>
      </c>
      <c r="I250" s="76" t="s">
        <v>573</v>
      </c>
      <c r="J250" s="370">
        <f t="shared" si="74"/>
        <v>0</v>
      </c>
      <c r="K250" s="364">
        <f t="shared" si="73"/>
        <v>0</v>
      </c>
      <c r="L250" s="365"/>
    </row>
    <row r="251" spans="1:12" s="258" customFormat="1" x14ac:dyDescent="0.2">
      <c r="A251" s="72">
        <f>IF(F251&lt;&gt;"",1+MAX($A$1:A250),"")</f>
        <v>174</v>
      </c>
      <c r="B251" s="83" t="s">
        <v>569</v>
      </c>
      <c r="C251" s="360" t="s">
        <v>591</v>
      </c>
      <c r="D251" s="366"/>
      <c r="E251" s="372" t="s">
        <v>642</v>
      </c>
      <c r="F251" s="264">
        <v>1</v>
      </c>
      <c r="G251" s="369">
        <v>0</v>
      </c>
      <c r="H251" s="75">
        <f t="shared" si="72"/>
        <v>1</v>
      </c>
      <c r="I251" s="76" t="s">
        <v>48</v>
      </c>
      <c r="J251" s="705">
        <v>0</v>
      </c>
      <c r="K251" s="364">
        <f t="shared" si="73"/>
        <v>0</v>
      </c>
      <c r="L251" s="365"/>
    </row>
    <row r="252" spans="1:12" s="258" customFormat="1" ht="16.5" thickBot="1" x14ac:dyDescent="0.25">
      <c r="A252" s="72" t="str">
        <f>IF(F252&lt;&gt;"",1+MAX($A$1:A251),"")</f>
        <v/>
      </c>
      <c r="B252" s="83"/>
      <c r="C252" s="360"/>
      <c r="D252" s="374"/>
      <c r="E252" s="375"/>
      <c r="F252" s="202"/>
      <c r="G252" s="203"/>
      <c r="H252" s="202"/>
      <c r="I252" s="204"/>
      <c r="J252" s="376"/>
      <c r="K252" s="377"/>
      <c r="L252" s="378"/>
    </row>
    <row r="253" spans="1:12" s="258" customFormat="1" ht="16.5" thickBot="1" x14ac:dyDescent="0.25">
      <c r="A253" s="72" t="str">
        <f>IF(F253&lt;&gt;"",1+MAX($A$1:A252),"")</f>
        <v/>
      </c>
      <c r="B253" s="366"/>
      <c r="C253" s="366"/>
      <c r="D253" s="379"/>
      <c r="E253" s="380" t="s">
        <v>643</v>
      </c>
      <c r="F253" s="368"/>
      <c r="G253" s="381"/>
      <c r="H253" s="75"/>
      <c r="I253" s="76"/>
      <c r="J253" s="382"/>
      <c r="K253" s="42"/>
      <c r="L253" s="383">
        <f>SUM(K244:K252)</f>
        <v>0</v>
      </c>
    </row>
    <row r="254" spans="1:12" s="258" customFormat="1" ht="16.5" thickBot="1" x14ac:dyDescent="0.25">
      <c r="A254" s="72" t="str">
        <f>IF(F254&lt;&gt;"",1+MAX($A$1:A253),"")</f>
        <v/>
      </c>
      <c r="B254" s="83"/>
      <c r="C254" s="360"/>
      <c r="D254" s="366"/>
      <c r="E254" s="372"/>
      <c r="F254" s="264"/>
      <c r="G254" s="369"/>
      <c r="H254" s="75"/>
      <c r="I254" s="76"/>
      <c r="J254" s="370"/>
      <c r="K254" s="364"/>
      <c r="L254" s="365"/>
    </row>
    <row r="255" spans="1:12" s="11" customFormat="1" ht="19.5" thickBot="1" x14ac:dyDescent="0.25">
      <c r="A255" s="72" t="str">
        <f>IF(F255&lt;&gt;"",1+MAX($A$1:A254),"")</f>
        <v/>
      </c>
      <c r="B255" s="38"/>
      <c r="C255" s="22"/>
      <c r="D255" s="22" t="s">
        <v>40</v>
      </c>
      <c r="E255" s="34" t="s">
        <v>41</v>
      </c>
      <c r="F255" s="24"/>
      <c r="G255" s="19"/>
      <c r="H255" s="19"/>
      <c r="I255" s="19"/>
      <c r="J255" s="44"/>
      <c r="K255" s="40"/>
      <c r="L255" s="78"/>
    </row>
    <row r="256" spans="1:12" s="121" customFormat="1" ht="16.5" thickBot="1" x14ac:dyDescent="0.25">
      <c r="A256" s="72" t="str">
        <f>IF(F256&lt;&gt;"",1+MAX($A$1:A255),"")</f>
        <v/>
      </c>
      <c r="B256" s="191"/>
      <c r="C256" s="222"/>
      <c r="D256" s="192"/>
      <c r="E256" s="192" t="s">
        <v>89</v>
      </c>
      <c r="F256" s="193"/>
      <c r="G256" s="194"/>
      <c r="H256" s="245"/>
      <c r="I256" s="246"/>
      <c r="J256" s="197"/>
      <c r="K256" s="198"/>
      <c r="L256" s="137"/>
    </row>
    <row r="257" spans="1:12" s="358" customFormat="1" ht="16.5" thickBot="1" x14ac:dyDescent="0.25">
      <c r="A257" s="72" t="str">
        <f>IF(F257&lt;&gt;"",1+MAX($A$1:A256),"")</f>
        <v/>
      </c>
      <c r="B257" s="355"/>
      <c r="C257" s="421"/>
      <c r="D257" s="422"/>
      <c r="E257" s="432" t="s">
        <v>645</v>
      </c>
      <c r="F257" s="356"/>
      <c r="G257" s="424"/>
      <c r="H257" s="425"/>
      <c r="I257" s="426"/>
      <c r="J257" s="427"/>
      <c r="K257" s="428"/>
      <c r="L257" s="357"/>
    </row>
    <row r="258" spans="1:12" s="258" customFormat="1" ht="47.25" x14ac:dyDescent="0.2">
      <c r="A258" s="72">
        <f>IF(F258&lt;&gt;"",1+MAX($A$1:A257),"")</f>
        <v>175</v>
      </c>
      <c r="B258" s="83" t="s">
        <v>569</v>
      </c>
      <c r="C258" s="360" t="s">
        <v>591</v>
      </c>
      <c r="D258" s="366"/>
      <c r="E258" s="367" t="s">
        <v>646</v>
      </c>
      <c r="F258" s="264">
        <f>2*3.33+4*4+49*0.67+41*0.67+5*0.67+11*0.67</f>
        <v>93.68</v>
      </c>
      <c r="G258" s="74">
        <v>0.1</v>
      </c>
      <c r="H258" s="75">
        <f t="shared" ref="H258:H259" si="75">F258*(1+G258)</f>
        <v>103.04800000000002</v>
      </c>
      <c r="I258" s="76" t="s">
        <v>16</v>
      </c>
      <c r="J258" s="144">
        <v>0</v>
      </c>
      <c r="K258" s="364">
        <f t="shared" ref="K258:K259" si="76">J258*H258</f>
        <v>0</v>
      </c>
      <c r="L258" s="365"/>
    </row>
    <row r="259" spans="1:12" s="258" customFormat="1" ht="47.25" x14ac:dyDescent="0.2">
      <c r="A259" s="72">
        <f>IF(F259&lt;&gt;"",1+MAX($A$1:A258),"")</f>
        <v>176</v>
      </c>
      <c r="B259" s="83" t="s">
        <v>569</v>
      </c>
      <c r="C259" s="360" t="s">
        <v>591</v>
      </c>
      <c r="D259" s="366"/>
      <c r="E259" s="367" t="s">
        <v>647</v>
      </c>
      <c r="F259" s="264">
        <f>2*4+4*4.67+20*4+19*4.67+58*5.34+40*6+39*6.67+68*2.67+9*4+49*2+41*3.33+5*2+11*3.33+6*2</f>
        <v>1515.98</v>
      </c>
      <c r="G259" s="74">
        <v>0.1</v>
      </c>
      <c r="H259" s="75">
        <f t="shared" si="75"/>
        <v>1667.5780000000002</v>
      </c>
      <c r="I259" s="76" t="s">
        <v>16</v>
      </c>
      <c r="J259" s="144">
        <v>0</v>
      </c>
      <c r="K259" s="364">
        <f t="shared" si="76"/>
        <v>0</v>
      </c>
      <c r="L259" s="365"/>
    </row>
    <row r="260" spans="1:12" s="258" customFormat="1" ht="16.5" thickBot="1" x14ac:dyDescent="0.25">
      <c r="A260" s="72" t="str">
        <f>IF(F260&lt;&gt;"",1+MAX($A$1:A259),"")</f>
        <v/>
      </c>
      <c r="B260" s="83"/>
      <c r="C260" s="360"/>
      <c r="D260" s="366"/>
      <c r="E260" s="367"/>
      <c r="F260" s="368"/>
      <c r="G260" s="369"/>
      <c r="H260" s="75"/>
      <c r="I260" s="76"/>
      <c r="J260" s="370"/>
      <c r="K260" s="364"/>
      <c r="L260" s="365"/>
    </row>
    <row r="261" spans="1:12" s="121" customFormat="1" ht="16.5" thickBot="1" x14ac:dyDescent="0.25">
      <c r="A261" s="72" t="str">
        <f>IF(F261&lt;&gt;"",1+MAX($A$1:A260),"")</f>
        <v/>
      </c>
      <c r="B261" s="2"/>
      <c r="C261" s="244"/>
      <c r="D261" s="247"/>
      <c r="E261" s="249" t="s">
        <v>140</v>
      </c>
      <c r="F261" s="248"/>
      <c r="G261" s="20"/>
      <c r="H261" s="140"/>
      <c r="I261" s="4"/>
      <c r="J261" s="141"/>
      <c r="K261" s="142"/>
      <c r="L261" s="137"/>
    </row>
    <row r="262" spans="1:12" s="121" customFormat="1" x14ac:dyDescent="0.2">
      <c r="A262" s="72" t="str">
        <f>IF(F262&lt;&gt;"",1+MAX($A$1:A261),"")</f>
        <v/>
      </c>
      <c r="B262" s="138"/>
      <c r="C262" s="219"/>
      <c r="D262" s="133"/>
      <c r="E262" s="139" t="s">
        <v>119</v>
      </c>
      <c r="F262" s="134"/>
      <c r="G262" s="20"/>
      <c r="H262" s="140"/>
      <c r="I262" s="4"/>
      <c r="J262" s="141"/>
      <c r="K262" s="142"/>
      <c r="L262" s="137"/>
    </row>
    <row r="263" spans="1:12" s="121" customFormat="1" ht="47.25" x14ac:dyDescent="0.2">
      <c r="A263" s="72">
        <f>IF(F263&lt;&gt;"",1+MAX($A$1:A262),"")</f>
        <v>177</v>
      </c>
      <c r="B263" s="2" t="s">
        <v>88</v>
      </c>
      <c r="C263" s="200" t="s">
        <v>95</v>
      </c>
      <c r="D263" s="225"/>
      <c r="E263" s="250" t="s">
        <v>166</v>
      </c>
      <c r="F263" s="13">
        <f>53.3*13</f>
        <v>692.9</v>
      </c>
      <c r="G263" s="74">
        <v>0.1</v>
      </c>
      <c r="H263" s="27">
        <f>F263*(1+G263)</f>
        <v>762.19</v>
      </c>
      <c r="I263" s="28" t="s">
        <v>16</v>
      </c>
      <c r="J263" s="135">
        <f>J$259</f>
        <v>0</v>
      </c>
      <c r="K263" s="136">
        <f>J263*H263</f>
        <v>0</v>
      </c>
      <c r="L263" s="137"/>
    </row>
    <row r="264" spans="1:12" s="121" customFormat="1" x14ac:dyDescent="0.2">
      <c r="A264" s="72">
        <f>IF(F264&lt;&gt;"",1+MAX($A$1:A263),"")</f>
        <v>178</v>
      </c>
      <c r="B264" s="2" t="s">
        <v>88</v>
      </c>
      <c r="C264" s="200" t="s">
        <v>95</v>
      </c>
      <c r="D264" s="145"/>
      <c r="E264" s="250" t="s">
        <v>118</v>
      </c>
      <c r="F264" s="13">
        <f>53.3</f>
        <v>53.3</v>
      </c>
      <c r="G264" s="74">
        <v>0.1</v>
      </c>
      <c r="H264" s="27">
        <f t="shared" ref="H264" si="77">F264*(1+G264)</f>
        <v>58.63</v>
      </c>
      <c r="I264" s="28" t="s">
        <v>13</v>
      </c>
      <c r="J264" s="144">
        <v>0</v>
      </c>
      <c r="K264" s="136">
        <f t="shared" ref="K264" si="78">J264*H264</f>
        <v>0</v>
      </c>
      <c r="L264" s="137"/>
    </row>
    <row r="265" spans="1:12" s="121" customFormat="1" x14ac:dyDescent="0.2">
      <c r="A265" s="72">
        <f>IF(F265&lt;&gt;"",1+MAX($A$1:A264),"")</f>
        <v>179</v>
      </c>
      <c r="B265" s="2" t="s">
        <v>88</v>
      </c>
      <c r="C265" s="200" t="s">
        <v>95</v>
      </c>
      <c r="D265" s="225"/>
      <c r="E265" s="250" t="s">
        <v>50</v>
      </c>
      <c r="F265" s="13">
        <f>53.3*13</f>
        <v>692.9</v>
      </c>
      <c r="G265" s="74">
        <v>0.1</v>
      </c>
      <c r="H265" s="27">
        <f>F265*(1+G265)</f>
        <v>762.19</v>
      </c>
      <c r="I265" s="28" t="s">
        <v>16</v>
      </c>
      <c r="J265" s="135">
        <f>J$10</f>
        <v>0</v>
      </c>
      <c r="K265" s="136">
        <f>J265*H265</f>
        <v>0</v>
      </c>
      <c r="L265" s="137"/>
    </row>
    <row r="266" spans="1:12" s="121" customFormat="1" x14ac:dyDescent="0.2">
      <c r="A266" s="72">
        <f>IF(F266&lt;&gt;"",1+MAX($A$1:A265),"")</f>
        <v>180</v>
      </c>
      <c r="B266" s="2" t="s">
        <v>88</v>
      </c>
      <c r="C266" s="200" t="s">
        <v>95</v>
      </c>
      <c r="D266" s="225"/>
      <c r="E266" s="250" t="s">
        <v>167</v>
      </c>
      <c r="F266" s="13">
        <f>53.3</f>
        <v>53.3</v>
      </c>
      <c r="G266" s="74">
        <v>0.1</v>
      </c>
      <c r="H266" s="27">
        <f>F266*(1+G266)</f>
        <v>58.63</v>
      </c>
      <c r="I266" s="28" t="s">
        <v>16</v>
      </c>
      <c r="J266" s="144">
        <v>0</v>
      </c>
      <c r="K266" s="136">
        <f>J266*H266</f>
        <v>0</v>
      </c>
      <c r="L266" s="137"/>
    </row>
    <row r="267" spans="1:12" s="121" customFormat="1" x14ac:dyDescent="0.2">
      <c r="A267" s="72" t="str">
        <f>IF(F267&lt;&gt;"",1+MAX($A$1:A266),"")</f>
        <v/>
      </c>
      <c r="B267" s="2"/>
      <c r="C267" s="244"/>
      <c r="D267" s="145"/>
      <c r="E267" s="146"/>
      <c r="F267" s="147"/>
      <c r="G267" s="148"/>
      <c r="H267" s="27"/>
      <c r="I267" s="28"/>
      <c r="J267" s="135"/>
      <c r="K267" s="136"/>
      <c r="L267" s="137"/>
    </row>
    <row r="268" spans="1:12" s="121" customFormat="1" x14ac:dyDescent="0.2">
      <c r="A268" s="72" t="str">
        <f>IF(F268&lt;&gt;"",1+MAX($A$1:A267),"")</f>
        <v/>
      </c>
      <c r="B268" s="138"/>
      <c r="C268" s="219"/>
      <c r="D268" s="133"/>
      <c r="E268" s="139" t="s">
        <v>120</v>
      </c>
      <c r="F268" s="134"/>
      <c r="G268" s="20"/>
      <c r="H268" s="140"/>
      <c r="I268" s="4"/>
      <c r="J268" s="141"/>
      <c r="K268" s="142"/>
      <c r="L268" s="137"/>
    </row>
    <row r="269" spans="1:12" s="121" customFormat="1" ht="31.5" x14ac:dyDescent="0.2">
      <c r="A269" s="72">
        <f>IF(F269&lt;&gt;"",1+MAX($A$1:A268),"")</f>
        <v>181</v>
      </c>
      <c r="B269" s="2" t="s">
        <v>88</v>
      </c>
      <c r="C269" s="200" t="s">
        <v>95</v>
      </c>
      <c r="D269" s="225"/>
      <c r="E269" s="250" t="s">
        <v>169</v>
      </c>
      <c r="F269" s="13">
        <f>49.9*11.67</f>
        <v>582.33299999999997</v>
      </c>
      <c r="G269" s="74">
        <v>0.1</v>
      </c>
      <c r="H269" s="27">
        <f>F269*(1+G269)</f>
        <v>640.56630000000007</v>
      </c>
      <c r="I269" s="28" t="s">
        <v>16</v>
      </c>
      <c r="J269" s="144">
        <v>0</v>
      </c>
      <c r="K269" s="136">
        <f>J269*H269</f>
        <v>0</v>
      </c>
      <c r="L269" s="137"/>
    </row>
    <row r="270" spans="1:12" s="121" customFormat="1" x14ac:dyDescent="0.2">
      <c r="A270" s="72">
        <f>IF(F270&lt;&gt;"",1+MAX($A$1:A269),"")</f>
        <v>182</v>
      </c>
      <c r="B270" s="2" t="s">
        <v>88</v>
      </c>
      <c r="C270" s="200" t="s">
        <v>95</v>
      </c>
      <c r="D270" s="145"/>
      <c r="E270" s="250" t="s">
        <v>121</v>
      </c>
      <c r="F270" s="13">
        <f>19.9</f>
        <v>19.899999999999999</v>
      </c>
      <c r="G270" s="74">
        <v>0.1</v>
      </c>
      <c r="H270" s="27">
        <f t="shared" ref="H270" si="79">F270*(1+G270)</f>
        <v>21.89</v>
      </c>
      <c r="I270" s="28" t="s">
        <v>13</v>
      </c>
      <c r="J270" s="144">
        <v>0</v>
      </c>
      <c r="K270" s="136">
        <f t="shared" ref="K270" si="80">J270*H270</f>
        <v>0</v>
      </c>
      <c r="L270" s="137"/>
    </row>
    <row r="271" spans="1:12" s="121" customFormat="1" x14ac:dyDescent="0.2">
      <c r="A271" s="72">
        <f>IF(F271&lt;&gt;"",1+MAX($A$1:A270),"")</f>
        <v>183</v>
      </c>
      <c r="B271" s="2" t="s">
        <v>88</v>
      </c>
      <c r="C271" s="200" t="s">
        <v>95</v>
      </c>
      <c r="D271" s="225"/>
      <c r="E271" s="250" t="s">
        <v>50</v>
      </c>
      <c r="F271" s="13">
        <f>49.9*13</f>
        <v>648.69999999999993</v>
      </c>
      <c r="G271" s="74">
        <v>0.1</v>
      </c>
      <c r="H271" s="27">
        <f>F271*(1+G271)</f>
        <v>713.56999999999994</v>
      </c>
      <c r="I271" s="28" t="s">
        <v>16</v>
      </c>
      <c r="J271" s="135">
        <f>J$10</f>
        <v>0</v>
      </c>
      <c r="K271" s="136">
        <f>J271*H271</f>
        <v>0</v>
      </c>
      <c r="L271" s="137"/>
    </row>
    <row r="272" spans="1:12" s="121" customFormat="1" x14ac:dyDescent="0.2">
      <c r="A272" s="72">
        <f>IF(F272&lt;&gt;"",1+MAX($A$1:A271),"")</f>
        <v>184</v>
      </c>
      <c r="B272" s="2" t="s">
        <v>88</v>
      </c>
      <c r="C272" s="200" t="s">
        <v>95</v>
      </c>
      <c r="D272" s="225"/>
      <c r="E272" s="250" t="s">
        <v>167</v>
      </c>
      <c r="F272" s="13">
        <f t="shared" ref="F272" si="81">19.9</f>
        <v>19.899999999999999</v>
      </c>
      <c r="G272" s="74">
        <v>0.1</v>
      </c>
      <c r="H272" s="27">
        <f>F272*(1+G272)</f>
        <v>21.89</v>
      </c>
      <c r="I272" s="28" t="s">
        <v>16</v>
      </c>
      <c r="J272" s="135">
        <f>J$266</f>
        <v>0</v>
      </c>
      <c r="K272" s="136">
        <f>J272*H272</f>
        <v>0</v>
      </c>
      <c r="L272" s="137"/>
    </row>
    <row r="273" spans="1:12" s="121" customFormat="1" x14ac:dyDescent="0.2">
      <c r="A273" s="72" t="str">
        <f>IF(F273&lt;&gt;"",1+MAX($A$1:A272),"")</f>
        <v/>
      </c>
      <c r="B273" s="2"/>
      <c r="C273" s="244"/>
      <c r="D273" s="145"/>
      <c r="E273" s="146"/>
      <c r="F273" s="147"/>
      <c r="G273" s="148"/>
      <c r="H273" s="27"/>
      <c r="I273" s="28"/>
      <c r="J273" s="135"/>
      <c r="K273" s="136"/>
      <c r="L273" s="137"/>
    </row>
    <row r="274" spans="1:12" s="121" customFormat="1" x14ac:dyDescent="0.2">
      <c r="A274" s="72" t="str">
        <f>IF(F274&lt;&gt;"",1+MAX($A$1:A273),"")</f>
        <v/>
      </c>
      <c r="B274" s="138"/>
      <c r="C274" s="219"/>
      <c r="D274" s="133"/>
      <c r="E274" s="139" t="s">
        <v>122</v>
      </c>
      <c r="F274" s="134"/>
      <c r="G274" s="20"/>
      <c r="H274" s="140"/>
      <c r="I274" s="4"/>
      <c r="J274" s="141"/>
      <c r="K274" s="142"/>
      <c r="L274" s="137"/>
    </row>
    <row r="275" spans="1:12" s="121" customFormat="1" ht="31.5" x14ac:dyDescent="0.2">
      <c r="A275" s="72">
        <f>IF(F275&lt;&gt;"",1+MAX($A$1:A274),"")</f>
        <v>185</v>
      </c>
      <c r="B275" s="2" t="s">
        <v>88</v>
      </c>
      <c r="C275" s="200" t="s">
        <v>95</v>
      </c>
      <c r="D275" s="225"/>
      <c r="E275" s="250" t="s">
        <v>168</v>
      </c>
      <c r="F275" s="13">
        <f>5.3*11.67</f>
        <v>61.850999999999999</v>
      </c>
      <c r="G275" s="74">
        <v>0.1</v>
      </c>
      <c r="H275" s="27">
        <f>F275*(1+G275)</f>
        <v>68.036100000000005</v>
      </c>
      <c r="I275" s="28" t="s">
        <v>16</v>
      </c>
      <c r="J275" s="144">
        <v>0</v>
      </c>
      <c r="K275" s="136">
        <f>J275*H275</f>
        <v>0</v>
      </c>
      <c r="L275" s="137"/>
    </row>
    <row r="276" spans="1:12" s="121" customFormat="1" x14ac:dyDescent="0.2">
      <c r="A276" s="72">
        <f>IF(F276&lt;&gt;"",1+MAX($A$1:A275),"")</f>
        <v>186</v>
      </c>
      <c r="B276" s="2" t="s">
        <v>88</v>
      </c>
      <c r="C276" s="200" t="s">
        <v>95</v>
      </c>
      <c r="D276" s="145"/>
      <c r="E276" s="250" t="s">
        <v>118</v>
      </c>
      <c r="F276" s="13">
        <f>5.3</f>
        <v>5.3</v>
      </c>
      <c r="G276" s="74">
        <v>0.1</v>
      </c>
      <c r="H276" s="27">
        <f t="shared" ref="H276" si="82">F276*(1+G276)</f>
        <v>5.83</v>
      </c>
      <c r="I276" s="28" t="s">
        <v>13</v>
      </c>
      <c r="J276" s="135">
        <f>J$264</f>
        <v>0</v>
      </c>
      <c r="K276" s="136">
        <f t="shared" ref="K276" si="83">J276*H276</f>
        <v>0</v>
      </c>
      <c r="L276" s="137"/>
    </row>
    <row r="277" spans="1:12" s="121" customFormat="1" x14ac:dyDescent="0.2">
      <c r="A277" s="72">
        <f>IF(F277&lt;&gt;"",1+MAX($A$1:A276),"")</f>
        <v>187</v>
      </c>
      <c r="B277" s="2" t="s">
        <v>88</v>
      </c>
      <c r="C277" s="200" t="s">
        <v>95</v>
      </c>
      <c r="D277" s="225"/>
      <c r="E277" s="250" t="s">
        <v>50</v>
      </c>
      <c r="F277" s="13">
        <f t="shared" ref="F277" si="84">5.3*13</f>
        <v>68.899999999999991</v>
      </c>
      <c r="G277" s="74">
        <v>0.1</v>
      </c>
      <c r="H277" s="27">
        <f>F277*(1+G277)</f>
        <v>75.789999999999992</v>
      </c>
      <c r="I277" s="28" t="s">
        <v>16</v>
      </c>
      <c r="J277" s="135">
        <f>J$10</f>
        <v>0</v>
      </c>
      <c r="K277" s="136">
        <f>J277*H277</f>
        <v>0</v>
      </c>
      <c r="L277" s="137"/>
    </row>
    <row r="278" spans="1:12" s="121" customFormat="1" x14ac:dyDescent="0.2">
      <c r="A278" s="72">
        <f>IF(F278&lt;&gt;"",1+MAX($A$1:A277),"")</f>
        <v>188</v>
      </c>
      <c r="B278" s="2" t="s">
        <v>88</v>
      </c>
      <c r="C278" s="200" t="s">
        <v>95</v>
      </c>
      <c r="D278" s="225"/>
      <c r="E278" s="250" t="s">
        <v>167</v>
      </c>
      <c r="F278" s="13">
        <f>5.3</f>
        <v>5.3</v>
      </c>
      <c r="G278" s="74">
        <v>0.1</v>
      </c>
      <c r="H278" s="27">
        <f>F278*(1+G278)</f>
        <v>5.83</v>
      </c>
      <c r="I278" s="28" t="s">
        <v>16</v>
      </c>
      <c r="J278" s="135">
        <f>J$266</f>
        <v>0</v>
      </c>
      <c r="K278" s="136">
        <f>J278*H278</f>
        <v>0</v>
      </c>
      <c r="L278" s="137"/>
    </row>
    <row r="279" spans="1:12" s="121" customFormat="1" x14ac:dyDescent="0.2">
      <c r="A279" s="72" t="str">
        <f>IF(F279&lt;&gt;"",1+MAX($A$1:A278),"")</f>
        <v/>
      </c>
      <c r="B279" s="2"/>
      <c r="C279" s="244"/>
      <c r="D279" s="145"/>
      <c r="E279" s="146"/>
      <c r="F279" s="147"/>
      <c r="G279" s="148"/>
      <c r="H279" s="27"/>
      <c r="I279" s="28"/>
      <c r="J279" s="135"/>
      <c r="K279" s="136"/>
      <c r="L279" s="137"/>
    </row>
    <row r="280" spans="1:12" s="121" customFormat="1" x14ac:dyDescent="0.2">
      <c r="A280" s="72" t="str">
        <f>IF(F280&lt;&gt;"",1+MAX($A$1:A279),"")</f>
        <v/>
      </c>
      <c r="B280" s="138"/>
      <c r="C280" s="219"/>
      <c r="D280" s="133"/>
      <c r="E280" s="139" t="s">
        <v>124</v>
      </c>
      <c r="F280" s="134"/>
      <c r="G280" s="20"/>
      <c r="H280" s="140"/>
      <c r="I280" s="4"/>
      <c r="J280" s="141"/>
      <c r="K280" s="142"/>
      <c r="L280" s="137"/>
    </row>
    <row r="281" spans="1:12" s="121" customFormat="1" ht="31.5" x14ac:dyDescent="0.2">
      <c r="A281" s="72">
        <f>IF(F281&lt;&gt;"",1+MAX($A$1:A280),"")</f>
        <v>189</v>
      </c>
      <c r="B281" s="2" t="s">
        <v>88</v>
      </c>
      <c r="C281" s="200" t="s">
        <v>95</v>
      </c>
      <c r="D281" s="225"/>
      <c r="E281" s="250" t="s">
        <v>169</v>
      </c>
      <c r="F281" s="13">
        <f>54.3*12.92</f>
        <v>701.55599999999993</v>
      </c>
      <c r="G281" s="74">
        <v>0.1</v>
      </c>
      <c r="H281" s="27">
        <f>F281*(1+G281)</f>
        <v>771.71159999999998</v>
      </c>
      <c r="I281" s="28" t="s">
        <v>16</v>
      </c>
      <c r="J281" s="135">
        <f>J$269</f>
        <v>0</v>
      </c>
      <c r="K281" s="136">
        <f>J281*H281</f>
        <v>0</v>
      </c>
      <c r="L281" s="137"/>
    </row>
    <row r="282" spans="1:12" s="121" customFormat="1" x14ac:dyDescent="0.2">
      <c r="A282" s="72">
        <f>IF(F282&lt;&gt;"",1+MAX($A$1:A281),"")</f>
        <v>190</v>
      </c>
      <c r="B282" s="2" t="s">
        <v>88</v>
      </c>
      <c r="C282" s="200" t="s">
        <v>95</v>
      </c>
      <c r="D282" s="145"/>
      <c r="E282" s="250" t="s">
        <v>121</v>
      </c>
      <c r="F282" s="13">
        <f>54.3</f>
        <v>54.3</v>
      </c>
      <c r="G282" s="74">
        <v>0.1</v>
      </c>
      <c r="H282" s="27">
        <f t="shared" ref="H282" si="85">F282*(1+G282)</f>
        <v>59.730000000000004</v>
      </c>
      <c r="I282" s="28" t="s">
        <v>13</v>
      </c>
      <c r="J282" s="135">
        <f>J$270</f>
        <v>0</v>
      </c>
      <c r="K282" s="136">
        <f t="shared" ref="K282" si="86">J282*H282</f>
        <v>0</v>
      </c>
      <c r="L282" s="137"/>
    </row>
    <row r="283" spans="1:12" s="121" customFormat="1" x14ac:dyDescent="0.2">
      <c r="A283" s="72">
        <f>IF(F283&lt;&gt;"",1+MAX($A$1:A282),"")</f>
        <v>191</v>
      </c>
      <c r="B283" s="2" t="s">
        <v>88</v>
      </c>
      <c r="C283" s="200" t="s">
        <v>95</v>
      </c>
      <c r="D283" s="225"/>
      <c r="E283" s="250" t="s">
        <v>50</v>
      </c>
      <c r="F283" s="13">
        <v>774</v>
      </c>
      <c r="G283" s="74">
        <v>0.1</v>
      </c>
      <c r="H283" s="27">
        <f>F283*(1+G283)</f>
        <v>851.40000000000009</v>
      </c>
      <c r="I283" s="28" t="s">
        <v>16</v>
      </c>
      <c r="J283" s="135">
        <f>J$10</f>
        <v>0</v>
      </c>
      <c r="K283" s="136">
        <f>J283*H283</f>
        <v>0</v>
      </c>
      <c r="L283" s="137"/>
    </row>
    <row r="284" spans="1:12" s="121" customFormat="1" x14ac:dyDescent="0.2">
      <c r="A284" s="72">
        <f>IF(F284&lt;&gt;"",1+MAX($A$1:A283),"")</f>
        <v>192</v>
      </c>
      <c r="B284" s="2" t="s">
        <v>88</v>
      </c>
      <c r="C284" s="200" t="s">
        <v>95</v>
      </c>
      <c r="D284" s="225"/>
      <c r="E284" s="250" t="s">
        <v>167</v>
      </c>
      <c r="F284" s="13">
        <f t="shared" ref="F284" si="87">54.3</f>
        <v>54.3</v>
      </c>
      <c r="G284" s="74">
        <v>0.1</v>
      </c>
      <c r="H284" s="27">
        <f>F284*(1+G284)</f>
        <v>59.730000000000004</v>
      </c>
      <c r="I284" s="28" t="s">
        <v>16</v>
      </c>
      <c r="J284" s="135">
        <f>J$266</f>
        <v>0</v>
      </c>
      <c r="K284" s="136">
        <f>J284*H284</f>
        <v>0</v>
      </c>
      <c r="L284" s="137"/>
    </row>
    <row r="285" spans="1:12" s="121" customFormat="1" x14ac:dyDescent="0.2">
      <c r="A285" s="72" t="str">
        <f>IF(F285&lt;&gt;"",1+MAX($A$1:A284),"")</f>
        <v/>
      </c>
      <c r="B285" s="2"/>
      <c r="C285" s="244"/>
      <c r="D285" s="145"/>
      <c r="E285" s="146"/>
      <c r="F285" s="147"/>
      <c r="G285" s="148"/>
      <c r="H285" s="27"/>
      <c r="I285" s="28"/>
      <c r="J285" s="135"/>
      <c r="K285" s="136"/>
      <c r="L285" s="137"/>
    </row>
    <row r="286" spans="1:12" s="121" customFormat="1" x14ac:dyDescent="0.2">
      <c r="A286" s="72" t="str">
        <f>IF(F286&lt;&gt;"",1+MAX($A$1:A285),"")</f>
        <v/>
      </c>
      <c r="B286" s="138"/>
      <c r="C286" s="219"/>
      <c r="D286" s="133"/>
      <c r="E286" s="139" t="s">
        <v>126</v>
      </c>
      <c r="F286" s="134"/>
      <c r="G286" s="20"/>
      <c r="H286" s="140"/>
      <c r="I286" s="4"/>
      <c r="J286" s="141"/>
      <c r="K286" s="142"/>
      <c r="L286" s="137"/>
    </row>
    <row r="287" spans="1:12" s="121" customFormat="1" ht="31.5" x14ac:dyDescent="0.2">
      <c r="A287" s="72">
        <f>IF(F287&lt;&gt;"",1+MAX($A$1:A286),"")</f>
        <v>193</v>
      </c>
      <c r="B287" s="2" t="s">
        <v>88</v>
      </c>
      <c r="C287" s="200" t="s">
        <v>95</v>
      </c>
      <c r="D287" s="225"/>
      <c r="E287" s="250" t="s">
        <v>168</v>
      </c>
      <c r="F287" s="13">
        <f>277.3*17</f>
        <v>4714.1000000000004</v>
      </c>
      <c r="G287" s="74">
        <v>0.1</v>
      </c>
      <c r="H287" s="27">
        <f>F287*(1+G287)</f>
        <v>5185.5100000000011</v>
      </c>
      <c r="I287" s="28" t="s">
        <v>16</v>
      </c>
      <c r="J287" s="135">
        <f>J$275</f>
        <v>0</v>
      </c>
      <c r="K287" s="136">
        <f>J287*H287</f>
        <v>0</v>
      </c>
      <c r="L287" s="137"/>
    </row>
    <row r="288" spans="1:12" s="121" customFormat="1" x14ac:dyDescent="0.2">
      <c r="A288" s="72">
        <f>IF(F288&lt;&gt;"",1+MAX($A$1:A287),"")</f>
        <v>194</v>
      </c>
      <c r="B288" s="2" t="s">
        <v>88</v>
      </c>
      <c r="C288" s="200" t="s">
        <v>95</v>
      </c>
      <c r="D288" s="145"/>
      <c r="E288" s="250" t="s">
        <v>118</v>
      </c>
      <c r="F288" s="13">
        <f>277.3</f>
        <v>277.3</v>
      </c>
      <c r="G288" s="74">
        <v>0.1</v>
      </c>
      <c r="H288" s="27">
        <f t="shared" ref="H288" si="88">F288*(1+G288)</f>
        <v>305.03000000000003</v>
      </c>
      <c r="I288" s="28" t="s">
        <v>13</v>
      </c>
      <c r="J288" s="135">
        <f>J$264</f>
        <v>0</v>
      </c>
      <c r="K288" s="136">
        <f t="shared" ref="K288" si="89">J288*H288</f>
        <v>0</v>
      </c>
      <c r="L288" s="137"/>
    </row>
    <row r="289" spans="1:12" s="121" customFormat="1" x14ac:dyDescent="0.2">
      <c r="A289" s="72">
        <f>IF(F289&lt;&gt;"",1+MAX($A$1:A288),"")</f>
        <v>195</v>
      </c>
      <c r="B289" s="2" t="s">
        <v>88</v>
      </c>
      <c r="C289" s="200" t="s">
        <v>95</v>
      </c>
      <c r="D289" s="225"/>
      <c r="E289" s="250" t="s">
        <v>50</v>
      </c>
      <c r="F289" s="13">
        <f>277.3*17</f>
        <v>4714.1000000000004</v>
      </c>
      <c r="G289" s="74">
        <v>0.1</v>
      </c>
      <c r="H289" s="27">
        <f>F289*(1+G289)</f>
        <v>5185.5100000000011</v>
      </c>
      <c r="I289" s="28" t="s">
        <v>16</v>
      </c>
      <c r="J289" s="135">
        <f>J$10</f>
        <v>0</v>
      </c>
      <c r="K289" s="136">
        <f>J289*H289</f>
        <v>0</v>
      </c>
      <c r="L289" s="137"/>
    </row>
    <row r="290" spans="1:12" s="121" customFormat="1" x14ac:dyDescent="0.2">
      <c r="A290" s="72">
        <f>IF(F290&lt;&gt;"",1+MAX($A$1:A289),"")</f>
        <v>196</v>
      </c>
      <c r="B290" s="2" t="s">
        <v>88</v>
      </c>
      <c r="C290" s="200" t="s">
        <v>95</v>
      </c>
      <c r="D290" s="225"/>
      <c r="E290" s="250" t="s">
        <v>167</v>
      </c>
      <c r="F290" s="13">
        <f t="shared" ref="F290" si="90">277.3</f>
        <v>277.3</v>
      </c>
      <c r="G290" s="74">
        <v>0.1</v>
      </c>
      <c r="H290" s="27">
        <f>F290*(1+G290)</f>
        <v>305.03000000000003</v>
      </c>
      <c r="I290" s="28" t="s">
        <v>16</v>
      </c>
      <c r="J290" s="135">
        <f>J$266</f>
        <v>0</v>
      </c>
      <c r="K290" s="136">
        <f>J290*H290</f>
        <v>0</v>
      </c>
      <c r="L290" s="137"/>
    </row>
    <row r="291" spans="1:12" s="121" customFormat="1" ht="16.5" thickBot="1" x14ac:dyDescent="0.25">
      <c r="A291" s="72" t="str">
        <f>IF(F291&lt;&gt;"",1+MAX($A$1:A290),"")</f>
        <v/>
      </c>
      <c r="B291" s="2"/>
      <c r="C291" s="244"/>
      <c r="D291" s="145"/>
      <c r="E291" s="146"/>
      <c r="F291" s="147"/>
      <c r="G291" s="148"/>
      <c r="H291" s="27"/>
      <c r="I291" s="28"/>
      <c r="J291" s="135"/>
      <c r="K291" s="136"/>
      <c r="L291" s="137"/>
    </row>
    <row r="292" spans="1:12" s="121" customFormat="1" ht="16.5" thickBot="1" x14ac:dyDescent="0.25">
      <c r="A292" s="72" t="str">
        <f>IF(F292&lt;&gt;"",1+MAX($A$1:A291),"")</f>
        <v/>
      </c>
      <c r="B292" s="2"/>
      <c r="C292" s="244"/>
      <c r="D292" s="247"/>
      <c r="E292" s="249" t="s">
        <v>141</v>
      </c>
      <c r="F292" s="248"/>
      <c r="G292" s="20"/>
      <c r="H292" s="140"/>
      <c r="I292" s="4"/>
      <c r="J292" s="141"/>
      <c r="K292" s="142"/>
      <c r="L292" s="137"/>
    </row>
    <row r="293" spans="1:12" s="121" customFormat="1" x14ac:dyDescent="0.2">
      <c r="A293" s="72" t="str">
        <f>IF(F293&lt;&gt;"",1+MAX($A$1:A292),"")</f>
        <v/>
      </c>
      <c r="B293" s="138"/>
      <c r="C293" s="219"/>
      <c r="D293" s="133"/>
      <c r="E293" s="139" t="s">
        <v>117</v>
      </c>
      <c r="F293" s="134"/>
      <c r="G293" s="20"/>
      <c r="H293" s="140"/>
      <c r="I293" s="4"/>
      <c r="J293" s="141"/>
      <c r="K293" s="142"/>
      <c r="L293" s="137"/>
    </row>
    <row r="294" spans="1:12" s="121" customFormat="1" ht="47.25" x14ac:dyDescent="0.2">
      <c r="A294" s="72">
        <f>IF(F294&lt;&gt;"",1+MAX($A$1:A293),"")</f>
        <v>197</v>
      </c>
      <c r="B294" s="2" t="s">
        <v>88</v>
      </c>
      <c r="C294" s="200" t="s">
        <v>95</v>
      </c>
      <c r="D294" s="225"/>
      <c r="E294" s="250" t="s">
        <v>166</v>
      </c>
      <c r="F294" s="13">
        <f t="shared" ref="F294:F296" si="91">19.6*12</f>
        <v>235.20000000000002</v>
      </c>
      <c r="G294" s="74">
        <v>0.1</v>
      </c>
      <c r="H294" s="27">
        <f>F294*(1+G294)</f>
        <v>258.72000000000003</v>
      </c>
      <c r="I294" s="28" t="s">
        <v>16</v>
      </c>
      <c r="J294" s="135">
        <f>J$259</f>
        <v>0</v>
      </c>
      <c r="K294" s="136">
        <f>J294*H294</f>
        <v>0</v>
      </c>
      <c r="L294" s="137"/>
    </row>
    <row r="295" spans="1:12" s="121" customFormat="1" x14ac:dyDescent="0.2">
      <c r="A295" s="72">
        <f>IF(F295&lt;&gt;"",1+MAX($A$1:A294),"")</f>
        <v>198</v>
      </c>
      <c r="B295" s="2" t="s">
        <v>88</v>
      </c>
      <c r="C295" s="200" t="s">
        <v>95</v>
      </c>
      <c r="D295" s="145"/>
      <c r="E295" s="250" t="s">
        <v>118</v>
      </c>
      <c r="F295" s="13">
        <f>19.6</f>
        <v>19.600000000000001</v>
      </c>
      <c r="G295" s="74">
        <v>0.1</v>
      </c>
      <c r="H295" s="27">
        <f t="shared" ref="H295" si="92">F295*(1+G295)</f>
        <v>21.560000000000002</v>
      </c>
      <c r="I295" s="28" t="s">
        <v>13</v>
      </c>
      <c r="J295" s="135">
        <f>J$264</f>
        <v>0</v>
      </c>
      <c r="K295" s="136">
        <f t="shared" ref="K295" si="93">J295*H295</f>
        <v>0</v>
      </c>
      <c r="L295" s="137"/>
    </row>
    <row r="296" spans="1:12" s="121" customFormat="1" x14ac:dyDescent="0.2">
      <c r="A296" s="72">
        <f>IF(F296&lt;&gt;"",1+MAX($A$1:A295),"")</f>
        <v>199</v>
      </c>
      <c r="B296" s="2" t="s">
        <v>88</v>
      </c>
      <c r="C296" s="200" t="s">
        <v>95</v>
      </c>
      <c r="D296" s="225"/>
      <c r="E296" s="250" t="s">
        <v>50</v>
      </c>
      <c r="F296" s="13">
        <f t="shared" si="91"/>
        <v>235.20000000000002</v>
      </c>
      <c r="G296" s="74">
        <v>0.1</v>
      </c>
      <c r="H296" s="27">
        <f>F296*(1+G296)</f>
        <v>258.72000000000003</v>
      </c>
      <c r="I296" s="28" t="s">
        <v>16</v>
      </c>
      <c r="J296" s="135">
        <f>J$10</f>
        <v>0</v>
      </c>
      <c r="K296" s="136">
        <f>J296*H296</f>
        <v>0</v>
      </c>
      <c r="L296" s="137"/>
    </row>
    <row r="297" spans="1:12" s="121" customFormat="1" x14ac:dyDescent="0.2">
      <c r="A297" s="72">
        <f>IF(F297&lt;&gt;"",1+MAX($A$1:A296),"")</f>
        <v>200</v>
      </c>
      <c r="B297" s="2" t="s">
        <v>88</v>
      </c>
      <c r="C297" s="200" t="s">
        <v>95</v>
      </c>
      <c r="D297" s="225"/>
      <c r="E297" s="250" t="s">
        <v>167</v>
      </c>
      <c r="F297" s="13">
        <f t="shared" ref="F297" si="94">19.6</f>
        <v>19.600000000000001</v>
      </c>
      <c r="G297" s="74">
        <v>0.1</v>
      </c>
      <c r="H297" s="27">
        <f>F297*(1+G297)</f>
        <v>21.560000000000002</v>
      </c>
      <c r="I297" s="28" t="s">
        <v>16</v>
      </c>
      <c r="J297" s="135">
        <f>J$266</f>
        <v>0</v>
      </c>
      <c r="K297" s="136">
        <f>J297*H297</f>
        <v>0</v>
      </c>
      <c r="L297" s="137"/>
    </row>
    <row r="298" spans="1:12" s="121" customFormat="1" x14ac:dyDescent="0.2">
      <c r="A298" s="72" t="str">
        <f>IF(F298&lt;&gt;"",1+MAX($A$1:A297),"")</f>
        <v/>
      </c>
      <c r="B298" s="2"/>
      <c r="C298" s="244"/>
      <c r="D298" s="145"/>
      <c r="E298" s="146"/>
      <c r="F298" s="147"/>
      <c r="G298" s="148"/>
      <c r="H298" s="27"/>
      <c r="I298" s="28"/>
      <c r="J298" s="135"/>
      <c r="K298" s="136"/>
      <c r="L298" s="137"/>
    </row>
    <row r="299" spans="1:12" s="121" customFormat="1" x14ac:dyDescent="0.2">
      <c r="A299" s="72" t="str">
        <f>IF(F299&lt;&gt;"",1+MAX($A$1:A298),"")</f>
        <v/>
      </c>
      <c r="B299" s="138"/>
      <c r="C299" s="219"/>
      <c r="D299" s="133"/>
      <c r="E299" s="139" t="s">
        <v>122</v>
      </c>
      <c r="F299" s="134"/>
      <c r="G299" s="20"/>
      <c r="H299" s="140"/>
      <c r="I299" s="4"/>
      <c r="J299" s="141"/>
      <c r="K299" s="142"/>
      <c r="L299" s="137"/>
    </row>
    <row r="300" spans="1:12" s="121" customFormat="1" ht="47.25" x14ac:dyDescent="0.2">
      <c r="A300" s="72">
        <f>IF(F300&lt;&gt;"",1+MAX($A$1:A299),"")</f>
        <v>201</v>
      </c>
      <c r="B300" s="2" t="s">
        <v>88</v>
      </c>
      <c r="C300" s="200" t="s">
        <v>95</v>
      </c>
      <c r="D300" s="225"/>
      <c r="E300" s="250" t="s">
        <v>166</v>
      </c>
      <c r="F300" s="13">
        <f t="shared" ref="F300:F302" si="95">12.3*12</f>
        <v>147.60000000000002</v>
      </c>
      <c r="G300" s="74">
        <v>0.1</v>
      </c>
      <c r="H300" s="27">
        <f>F300*(1+G300)</f>
        <v>162.36000000000004</v>
      </c>
      <c r="I300" s="28" t="s">
        <v>16</v>
      </c>
      <c r="J300" s="135">
        <f>J$259</f>
        <v>0</v>
      </c>
      <c r="K300" s="136">
        <f>J300*H300</f>
        <v>0</v>
      </c>
      <c r="L300" s="137"/>
    </row>
    <row r="301" spans="1:12" s="121" customFormat="1" x14ac:dyDescent="0.2">
      <c r="A301" s="72">
        <f>IF(F301&lt;&gt;"",1+MAX($A$1:A300),"")</f>
        <v>202</v>
      </c>
      <c r="B301" s="2" t="s">
        <v>88</v>
      </c>
      <c r="C301" s="200" t="s">
        <v>95</v>
      </c>
      <c r="D301" s="145"/>
      <c r="E301" s="250" t="s">
        <v>118</v>
      </c>
      <c r="F301" s="13">
        <f>12.3</f>
        <v>12.3</v>
      </c>
      <c r="G301" s="74">
        <v>0.1</v>
      </c>
      <c r="H301" s="27">
        <f t="shared" ref="H301" si="96">F301*(1+G301)</f>
        <v>13.530000000000001</v>
      </c>
      <c r="I301" s="28" t="s">
        <v>13</v>
      </c>
      <c r="J301" s="135">
        <f>J$264</f>
        <v>0</v>
      </c>
      <c r="K301" s="136">
        <f t="shared" ref="K301" si="97">J301*H301</f>
        <v>0</v>
      </c>
      <c r="L301" s="137"/>
    </row>
    <row r="302" spans="1:12" s="121" customFormat="1" x14ac:dyDescent="0.2">
      <c r="A302" s="72">
        <f>IF(F302&lt;&gt;"",1+MAX($A$1:A301),"")</f>
        <v>203</v>
      </c>
      <c r="B302" s="2" t="s">
        <v>88</v>
      </c>
      <c r="C302" s="200" t="s">
        <v>95</v>
      </c>
      <c r="D302" s="225"/>
      <c r="E302" s="250" t="s">
        <v>50</v>
      </c>
      <c r="F302" s="13">
        <f t="shared" si="95"/>
        <v>147.60000000000002</v>
      </c>
      <c r="G302" s="74">
        <v>0.1</v>
      </c>
      <c r="H302" s="27">
        <f>F302*(1+G302)</f>
        <v>162.36000000000004</v>
      </c>
      <c r="I302" s="28" t="s">
        <v>16</v>
      </c>
      <c r="J302" s="135">
        <f>J$10</f>
        <v>0</v>
      </c>
      <c r="K302" s="136">
        <f>J302*H302</f>
        <v>0</v>
      </c>
      <c r="L302" s="137"/>
    </row>
    <row r="303" spans="1:12" s="121" customFormat="1" x14ac:dyDescent="0.2">
      <c r="A303" s="72">
        <f>IF(F303&lt;&gt;"",1+MAX($A$1:A302),"")</f>
        <v>204</v>
      </c>
      <c r="B303" s="2" t="s">
        <v>88</v>
      </c>
      <c r="C303" s="200" t="s">
        <v>95</v>
      </c>
      <c r="D303" s="225"/>
      <c r="E303" s="250" t="s">
        <v>167</v>
      </c>
      <c r="F303" s="13">
        <f t="shared" ref="F303" si="98">12.3</f>
        <v>12.3</v>
      </c>
      <c r="G303" s="74">
        <v>0.1</v>
      </c>
      <c r="H303" s="27">
        <f>F303*(1+G303)</f>
        <v>13.530000000000001</v>
      </c>
      <c r="I303" s="28" t="s">
        <v>16</v>
      </c>
      <c r="J303" s="135">
        <f>J$266</f>
        <v>0</v>
      </c>
      <c r="K303" s="136">
        <f>J303*H303</f>
        <v>0</v>
      </c>
      <c r="L303" s="137"/>
    </row>
    <row r="304" spans="1:12" s="121" customFormat="1" ht="16.5" thickBot="1" x14ac:dyDescent="0.25">
      <c r="A304" s="72" t="str">
        <f>IF(F304&lt;&gt;"",1+MAX($A$1:A303),"")</f>
        <v/>
      </c>
      <c r="B304" s="2"/>
      <c r="C304" s="244"/>
      <c r="D304" s="145"/>
      <c r="E304" s="146"/>
      <c r="F304" s="147"/>
      <c r="G304" s="148"/>
      <c r="H304" s="27"/>
      <c r="I304" s="28"/>
      <c r="J304" s="135"/>
      <c r="K304" s="136"/>
      <c r="L304" s="137"/>
    </row>
    <row r="305" spans="1:12" s="121" customFormat="1" ht="16.5" thickBot="1" x14ac:dyDescent="0.25">
      <c r="A305" s="72" t="str">
        <f>IF(F305&lt;&gt;"",1+MAX($A$1:A304),"")</f>
        <v/>
      </c>
      <c r="B305" s="2"/>
      <c r="C305" s="244"/>
      <c r="D305" s="247"/>
      <c r="E305" s="249" t="s">
        <v>143</v>
      </c>
      <c r="F305" s="248"/>
      <c r="G305" s="20"/>
      <c r="H305" s="140"/>
      <c r="I305" s="4"/>
      <c r="J305" s="141"/>
      <c r="K305" s="142"/>
      <c r="L305" s="137"/>
    </row>
    <row r="306" spans="1:12" s="121" customFormat="1" x14ac:dyDescent="0.2">
      <c r="A306" s="72" t="str">
        <f>IF(F306&lt;&gt;"",1+MAX($A$1:A305),"")</f>
        <v/>
      </c>
      <c r="B306" s="138"/>
      <c r="C306" s="219"/>
      <c r="D306" s="133"/>
      <c r="E306" s="139" t="s">
        <v>117</v>
      </c>
      <c r="F306" s="134"/>
      <c r="G306" s="20"/>
      <c r="H306" s="140"/>
      <c r="I306" s="4"/>
      <c r="J306" s="141"/>
      <c r="K306" s="142"/>
      <c r="L306" s="137"/>
    </row>
    <row r="307" spans="1:12" s="121" customFormat="1" ht="47.25" x14ac:dyDescent="0.2">
      <c r="A307" s="72">
        <f>IF(F307&lt;&gt;"",1+MAX($A$1:A306),"")</f>
        <v>205</v>
      </c>
      <c r="B307" s="2" t="s">
        <v>88</v>
      </c>
      <c r="C307" s="200" t="s">
        <v>95</v>
      </c>
      <c r="D307" s="225"/>
      <c r="E307" s="250" t="s">
        <v>166</v>
      </c>
      <c r="F307" s="13">
        <f t="shared" ref="F307:F309" si="99">19.6*12</f>
        <v>235.20000000000002</v>
      </c>
      <c r="G307" s="74">
        <v>0.1</v>
      </c>
      <c r="H307" s="27">
        <f>F307*(1+G307)</f>
        <v>258.72000000000003</v>
      </c>
      <c r="I307" s="28" t="s">
        <v>16</v>
      </c>
      <c r="J307" s="135">
        <f>J$259</f>
        <v>0</v>
      </c>
      <c r="K307" s="136">
        <f>J307*H307</f>
        <v>0</v>
      </c>
      <c r="L307" s="137"/>
    </row>
    <row r="308" spans="1:12" s="121" customFormat="1" x14ac:dyDescent="0.2">
      <c r="A308" s="72">
        <f>IF(F308&lt;&gt;"",1+MAX($A$1:A307),"")</f>
        <v>206</v>
      </c>
      <c r="B308" s="2" t="s">
        <v>88</v>
      </c>
      <c r="C308" s="200" t="s">
        <v>95</v>
      </c>
      <c r="D308" s="145"/>
      <c r="E308" s="250" t="s">
        <v>118</v>
      </c>
      <c r="F308" s="13">
        <f>19.6</f>
        <v>19.600000000000001</v>
      </c>
      <c r="G308" s="74">
        <v>0.1</v>
      </c>
      <c r="H308" s="27">
        <f t="shared" ref="H308" si="100">F308*(1+G308)</f>
        <v>21.560000000000002</v>
      </c>
      <c r="I308" s="28" t="s">
        <v>13</v>
      </c>
      <c r="J308" s="135">
        <f>J$264</f>
        <v>0</v>
      </c>
      <c r="K308" s="136">
        <f t="shared" ref="K308" si="101">J308*H308</f>
        <v>0</v>
      </c>
      <c r="L308" s="137"/>
    </row>
    <row r="309" spans="1:12" s="121" customFormat="1" x14ac:dyDescent="0.2">
      <c r="A309" s="72">
        <f>IF(F309&lt;&gt;"",1+MAX($A$1:A308),"")</f>
        <v>207</v>
      </c>
      <c r="B309" s="2" t="s">
        <v>88</v>
      </c>
      <c r="C309" s="200" t="s">
        <v>95</v>
      </c>
      <c r="D309" s="225"/>
      <c r="E309" s="250" t="s">
        <v>50</v>
      </c>
      <c r="F309" s="13">
        <f t="shared" si="99"/>
        <v>235.20000000000002</v>
      </c>
      <c r="G309" s="74">
        <v>0.1</v>
      </c>
      <c r="H309" s="27">
        <f>F309*(1+G309)</f>
        <v>258.72000000000003</v>
      </c>
      <c r="I309" s="28" t="s">
        <v>16</v>
      </c>
      <c r="J309" s="135">
        <f>J$10</f>
        <v>0</v>
      </c>
      <c r="K309" s="136">
        <f>J309*H309</f>
        <v>0</v>
      </c>
      <c r="L309" s="137"/>
    </row>
    <row r="310" spans="1:12" s="121" customFormat="1" x14ac:dyDescent="0.2">
      <c r="A310" s="72">
        <f>IF(F310&lt;&gt;"",1+MAX($A$1:A309),"")</f>
        <v>208</v>
      </c>
      <c r="B310" s="2" t="s">
        <v>88</v>
      </c>
      <c r="C310" s="200" t="s">
        <v>95</v>
      </c>
      <c r="D310" s="225"/>
      <c r="E310" s="250" t="s">
        <v>167</v>
      </c>
      <c r="F310" s="13">
        <f t="shared" ref="F310" si="102">19.6</f>
        <v>19.600000000000001</v>
      </c>
      <c r="G310" s="74">
        <v>0.1</v>
      </c>
      <c r="H310" s="27">
        <f>F310*(1+G310)</f>
        <v>21.560000000000002</v>
      </c>
      <c r="I310" s="28" t="s">
        <v>16</v>
      </c>
      <c r="J310" s="135">
        <f>J$266</f>
        <v>0</v>
      </c>
      <c r="K310" s="136">
        <f>J310*H310</f>
        <v>0</v>
      </c>
      <c r="L310" s="137"/>
    </row>
    <row r="311" spans="1:12" s="121" customFormat="1" x14ac:dyDescent="0.2">
      <c r="A311" s="72" t="str">
        <f>IF(F311&lt;&gt;"",1+MAX($A$1:A310),"")</f>
        <v/>
      </c>
      <c r="B311" s="2"/>
      <c r="C311" s="244"/>
      <c r="D311" s="145"/>
      <c r="E311" s="146"/>
      <c r="F311" s="147"/>
      <c r="G311" s="148"/>
      <c r="H311" s="27"/>
      <c r="I311" s="28"/>
      <c r="J311" s="135"/>
      <c r="K311" s="136"/>
      <c r="L311" s="137"/>
    </row>
    <row r="312" spans="1:12" s="121" customFormat="1" x14ac:dyDescent="0.2">
      <c r="A312" s="72" t="str">
        <f>IF(F312&lt;&gt;"",1+MAX($A$1:A311),"")</f>
        <v/>
      </c>
      <c r="B312" s="138"/>
      <c r="C312" s="219"/>
      <c r="D312" s="133"/>
      <c r="E312" s="139" t="s">
        <v>122</v>
      </c>
      <c r="F312" s="134"/>
      <c r="G312" s="20"/>
      <c r="H312" s="140"/>
      <c r="I312" s="4"/>
      <c r="J312" s="141"/>
      <c r="K312" s="142"/>
      <c r="L312" s="137"/>
    </row>
    <row r="313" spans="1:12" s="121" customFormat="1" ht="47.25" x14ac:dyDescent="0.2">
      <c r="A313" s="72">
        <f>IF(F313&lt;&gt;"",1+MAX($A$1:A312),"")</f>
        <v>209</v>
      </c>
      <c r="B313" s="2" t="s">
        <v>88</v>
      </c>
      <c r="C313" s="200" t="s">
        <v>95</v>
      </c>
      <c r="D313" s="225"/>
      <c r="E313" s="250" t="s">
        <v>166</v>
      </c>
      <c r="F313" s="13">
        <f t="shared" ref="F313:F315" si="103">12.3*12</f>
        <v>147.60000000000002</v>
      </c>
      <c r="G313" s="74">
        <v>0.1</v>
      </c>
      <c r="H313" s="27">
        <f>F313*(1+G313)</f>
        <v>162.36000000000004</v>
      </c>
      <c r="I313" s="28" t="s">
        <v>16</v>
      </c>
      <c r="J313" s="135">
        <f>J$259</f>
        <v>0</v>
      </c>
      <c r="K313" s="136">
        <f>J313*H313</f>
        <v>0</v>
      </c>
      <c r="L313" s="137"/>
    </row>
    <row r="314" spans="1:12" s="121" customFormat="1" x14ac:dyDescent="0.2">
      <c r="A314" s="72">
        <f>IF(F314&lt;&gt;"",1+MAX($A$1:A313),"")</f>
        <v>210</v>
      </c>
      <c r="B314" s="2" t="s">
        <v>88</v>
      </c>
      <c r="C314" s="200" t="s">
        <v>95</v>
      </c>
      <c r="D314" s="145"/>
      <c r="E314" s="250" t="s">
        <v>118</v>
      </c>
      <c r="F314" s="13">
        <f>12.3</f>
        <v>12.3</v>
      </c>
      <c r="G314" s="74">
        <v>0.1</v>
      </c>
      <c r="H314" s="27">
        <f t="shared" ref="H314" si="104">F314*(1+G314)</f>
        <v>13.530000000000001</v>
      </c>
      <c r="I314" s="28" t="s">
        <v>13</v>
      </c>
      <c r="J314" s="135">
        <f>J$264</f>
        <v>0</v>
      </c>
      <c r="K314" s="136">
        <f t="shared" ref="K314" si="105">J314*H314</f>
        <v>0</v>
      </c>
      <c r="L314" s="137"/>
    </row>
    <row r="315" spans="1:12" s="121" customFormat="1" x14ac:dyDescent="0.2">
      <c r="A315" s="72">
        <f>IF(F315&lt;&gt;"",1+MAX($A$1:A314),"")</f>
        <v>211</v>
      </c>
      <c r="B315" s="2" t="s">
        <v>88</v>
      </c>
      <c r="C315" s="200" t="s">
        <v>95</v>
      </c>
      <c r="D315" s="225"/>
      <c r="E315" s="250" t="s">
        <v>50</v>
      </c>
      <c r="F315" s="13">
        <f t="shared" si="103"/>
        <v>147.60000000000002</v>
      </c>
      <c r="G315" s="74">
        <v>0.1</v>
      </c>
      <c r="H315" s="27">
        <f>F315*(1+G315)</f>
        <v>162.36000000000004</v>
      </c>
      <c r="I315" s="28" t="s">
        <v>16</v>
      </c>
      <c r="J315" s="135">
        <f>J$10</f>
        <v>0</v>
      </c>
      <c r="K315" s="136">
        <f>J315*H315</f>
        <v>0</v>
      </c>
      <c r="L315" s="137"/>
    </row>
    <row r="316" spans="1:12" s="121" customFormat="1" x14ac:dyDescent="0.2">
      <c r="A316" s="72">
        <f>IF(F316&lt;&gt;"",1+MAX($A$1:A315),"")</f>
        <v>212</v>
      </c>
      <c r="B316" s="2" t="s">
        <v>88</v>
      </c>
      <c r="C316" s="200" t="s">
        <v>95</v>
      </c>
      <c r="D316" s="225"/>
      <c r="E316" s="250" t="s">
        <v>167</v>
      </c>
      <c r="F316" s="13">
        <f t="shared" ref="F316" si="106">12.3</f>
        <v>12.3</v>
      </c>
      <c r="G316" s="74">
        <v>0.1</v>
      </c>
      <c r="H316" s="27">
        <f>F316*(1+G316)</f>
        <v>13.530000000000001</v>
      </c>
      <c r="I316" s="28" t="s">
        <v>16</v>
      </c>
      <c r="J316" s="135">
        <f>J$266</f>
        <v>0</v>
      </c>
      <c r="K316" s="136">
        <f>J316*H316</f>
        <v>0</v>
      </c>
      <c r="L316" s="137"/>
    </row>
    <row r="317" spans="1:12" s="121" customFormat="1" ht="16.5" thickBot="1" x14ac:dyDescent="0.25">
      <c r="A317" s="72" t="str">
        <f>IF(F317&lt;&gt;"",1+MAX($A$1:A316),"")</f>
        <v/>
      </c>
      <c r="B317" s="200"/>
      <c r="C317" s="223"/>
      <c r="D317" s="2"/>
      <c r="E317" s="1"/>
      <c r="F317" s="202"/>
      <c r="G317" s="203"/>
      <c r="H317" s="202"/>
      <c r="I317" s="204"/>
      <c r="J317" s="205"/>
      <c r="K317" s="206"/>
      <c r="L317" s="207"/>
    </row>
    <row r="318" spans="1:12" s="121" customFormat="1" ht="16.5" thickBot="1" x14ac:dyDescent="0.25">
      <c r="A318" s="72" t="str">
        <f>IF(F318&lt;&gt;"",1+MAX($A$1:A317),"")</f>
        <v/>
      </c>
      <c r="B318" s="200"/>
      <c r="C318" s="223"/>
      <c r="D318" s="201"/>
      <c r="E318" s="35" t="s">
        <v>90</v>
      </c>
      <c r="F318" s="208"/>
      <c r="G318" s="209"/>
      <c r="H318" s="210"/>
      <c r="I318" s="211"/>
      <c r="J318" s="212"/>
      <c r="K318" s="42"/>
      <c r="L318" s="213">
        <f>SUM(K256:K317)</f>
        <v>0</v>
      </c>
    </row>
    <row r="319" spans="1:12" s="121" customFormat="1" ht="16.5" thickBot="1" x14ac:dyDescent="0.25">
      <c r="A319" s="72" t="str">
        <f>IF(F319&lt;&gt;"",1+MAX($A$1:A318),"")</f>
        <v/>
      </c>
      <c r="B319" s="200"/>
      <c r="C319" s="223"/>
      <c r="D319" s="201"/>
      <c r="E319" s="214"/>
      <c r="F319" s="13"/>
      <c r="G319" s="190"/>
      <c r="H319" s="3"/>
      <c r="I319" s="21"/>
      <c r="J319" s="135"/>
      <c r="K319" s="136"/>
      <c r="L319" s="137"/>
    </row>
    <row r="320" spans="1:12" s="1" customFormat="1" ht="16.5" thickBot="1" x14ac:dyDescent="0.25">
      <c r="A320" s="72" t="str">
        <f>IF(F320&lt;&gt;"",1+MAX($A$1:A319),"")</f>
        <v/>
      </c>
      <c r="B320" s="26"/>
      <c r="C320" s="265"/>
      <c r="D320" s="150"/>
      <c r="E320" s="151" t="s">
        <v>344</v>
      </c>
      <c r="F320" s="152"/>
      <c r="G320" s="153"/>
      <c r="H320" s="154"/>
      <c r="I320" s="155"/>
      <c r="J320" s="240"/>
      <c r="K320" s="156"/>
      <c r="L320" s="17"/>
    </row>
    <row r="321" spans="1:12" s="268" customFormat="1" ht="18.75" x14ac:dyDescent="0.2">
      <c r="A321" s="72">
        <f>IF(F321&lt;&gt;"",1+MAX($A$1:A320),"")</f>
        <v>213</v>
      </c>
      <c r="B321" s="2" t="s">
        <v>345</v>
      </c>
      <c r="C321" s="266"/>
      <c r="D321" s="267"/>
      <c r="E321" s="80" t="s">
        <v>346</v>
      </c>
      <c r="F321" s="81">
        <v>592</v>
      </c>
      <c r="G321" s="74">
        <v>0.1</v>
      </c>
      <c r="H321" s="75">
        <f t="shared" ref="H321" si="107">F321*(1+G321)</f>
        <v>651.20000000000005</v>
      </c>
      <c r="I321" s="76" t="s">
        <v>16</v>
      </c>
      <c r="J321" s="144">
        <v>0</v>
      </c>
      <c r="K321" s="77">
        <f>J321*H321</f>
        <v>0</v>
      </c>
      <c r="L321" s="78"/>
    </row>
    <row r="322" spans="1:12" s="1" customFormat="1" ht="16.5" thickBot="1" x14ac:dyDescent="0.25">
      <c r="A322" s="72" t="str">
        <f>IF(F322&lt;&gt;"",1+MAX($A$1:A321),"")</f>
        <v/>
      </c>
      <c r="B322" s="30"/>
      <c r="C322" s="2"/>
      <c r="D322" s="29"/>
      <c r="E322" s="15"/>
      <c r="F322" s="31"/>
      <c r="G322" s="32"/>
      <c r="H322" s="31"/>
      <c r="I322" s="33"/>
      <c r="J322" s="45"/>
      <c r="K322" s="41"/>
      <c r="L322" s="36"/>
    </row>
    <row r="323" spans="1:12" s="1" customFormat="1" ht="16.5" thickBot="1" x14ac:dyDescent="0.25">
      <c r="A323" s="72" t="str">
        <f>IF(F323&lt;&gt;"",1+MAX($A$1:A322),"")</f>
        <v/>
      </c>
      <c r="B323" s="2"/>
      <c r="C323" s="2"/>
      <c r="D323" s="29"/>
      <c r="E323" s="469" t="s">
        <v>650</v>
      </c>
      <c r="F323" s="189"/>
      <c r="G323" s="20"/>
      <c r="H323" s="3"/>
      <c r="I323" s="21"/>
      <c r="J323" s="269"/>
      <c r="K323" s="42"/>
      <c r="L323" s="37">
        <f>SUM(K320:K322)</f>
        <v>0</v>
      </c>
    </row>
    <row r="324" spans="1:12" s="121" customFormat="1" ht="16.5" thickBot="1" x14ac:dyDescent="0.25">
      <c r="A324" s="72" t="str">
        <f>IF(F324&lt;&gt;"",1+MAX($A$1:A323),"")</f>
        <v/>
      </c>
      <c r="B324" s="200"/>
      <c r="C324" s="223"/>
      <c r="D324" s="201"/>
      <c r="E324" s="214"/>
      <c r="F324" s="13"/>
      <c r="G324" s="190"/>
      <c r="H324" s="3"/>
      <c r="I324" s="21"/>
      <c r="J324" s="135"/>
      <c r="K324" s="136"/>
      <c r="L324" s="137"/>
    </row>
    <row r="325" spans="1:12" s="1" customFormat="1" ht="16.5" thickBot="1" x14ac:dyDescent="0.25">
      <c r="A325" s="72" t="str">
        <f>IF(F325&lt;&gt;"",1+MAX($A$1:A324),"")</f>
        <v/>
      </c>
      <c r="B325" s="26"/>
      <c r="C325" s="265"/>
      <c r="D325" s="150"/>
      <c r="E325" s="151" t="s">
        <v>347</v>
      </c>
      <c r="F325" s="152"/>
      <c r="G325" s="153"/>
      <c r="H325" s="154"/>
      <c r="I325" s="155"/>
      <c r="J325" s="240"/>
      <c r="K325" s="156"/>
      <c r="L325" s="17"/>
    </row>
    <row r="326" spans="1:12" s="268" customFormat="1" ht="63" x14ac:dyDescent="0.2">
      <c r="A326" s="72">
        <f>IF(F326&lt;&gt;"",1+MAX($A$1:A325),"")</f>
        <v>214</v>
      </c>
      <c r="B326" s="2" t="s">
        <v>345</v>
      </c>
      <c r="C326" s="266" t="s">
        <v>348</v>
      </c>
      <c r="D326" s="267"/>
      <c r="E326" s="228" t="s">
        <v>649</v>
      </c>
      <c r="F326" s="264">
        <v>906</v>
      </c>
      <c r="G326" s="74">
        <v>0.1</v>
      </c>
      <c r="H326" s="75">
        <f t="shared" ref="H326:H329" si="108">F326*(1+G326)</f>
        <v>996.60000000000014</v>
      </c>
      <c r="I326" s="76" t="s">
        <v>16</v>
      </c>
      <c r="J326" s="144">
        <v>0</v>
      </c>
      <c r="K326" s="77">
        <f>J326*H326</f>
        <v>0</v>
      </c>
      <c r="L326" s="78"/>
    </row>
    <row r="327" spans="1:12" s="268" customFormat="1" ht="18.75" x14ac:dyDescent="0.2">
      <c r="A327" s="72">
        <f>IF(F327&lt;&gt;"",1+MAX($A$1:A326),"")</f>
        <v>215</v>
      </c>
      <c r="B327" s="2" t="s">
        <v>345</v>
      </c>
      <c r="C327" s="266"/>
      <c r="D327" s="267"/>
      <c r="E327" s="228" t="s">
        <v>349</v>
      </c>
      <c r="F327" s="264">
        <v>36</v>
      </c>
      <c r="G327" s="74">
        <v>0.1</v>
      </c>
      <c r="H327" s="75">
        <f t="shared" si="108"/>
        <v>39.6</v>
      </c>
      <c r="I327" s="76" t="s">
        <v>13</v>
      </c>
      <c r="J327" s="144">
        <v>0</v>
      </c>
      <c r="K327" s="77">
        <f>J327*H327</f>
        <v>0</v>
      </c>
      <c r="L327" s="78"/>
    </row>
    <row r="328" spans="1:12" s="268" customFormat="1" ht="18.75" x14ac:dyDescent="0.2">
      <c r="A328" s="72">
        <f>IF(F328&lt;&gt;"",1+MAX($A$1:A327),"")</f>
        <v>216</v>
      </c>
      <c r="B328" s="2" t="s">
        <v>345</v>
      </c>
      <c r="C328" s="266"/>
      <c r="D328" s="267"/>
      <c r="E328" s="228" t="s">
        <v>350</v>
      </c>
      <c r="F328" s="264">
        <v>46.7</v>
      </c>
      <c r="G328" s="74">
        <v>0.1</v>
      </c>
      <c r="H328" s="75">
        <f t="shared" si="108"/>
        <v>51.370000000000005</v>
      </c>
      <c r="I328" s="76" t="s">
        <v>13</v>
      </c>
      <c r="J328" s="144">
        <v>0</v>
      </c>
      <c r="K328" s="77">
        <f>J328*H328</f>
        <v>0</v>
      </c>
      <c r="L328" s="78"/>
    </row>
    <row r="329" spans="1:12" s="268" customFormat="1" ht="18.75" x14ac:dyDescent="0.2">
      <c r="A329" s="72">
        <f>IF(F329&lt;&gt;"",1+MAX($A$1:A328),"")</f>
        <v>217</v>
      </c>
      <c r="B329" s="2" t="s">
        <v>345</v>
      </c>
      <c r="C329" s="266"/>
      <c r="D329" s="267"/>
      <c r="E329" s="228" t="s">
        <v>351</v>
      </c>
      <c r="F329" s="264">
        <v>35.9</v>
      </c>
      <c r="G329" s="74">
        <v>0.1</v>
      </c>
      <c r="H329" s="75">
        <f t="shared" si="108"/>
        <v>39.49</v>
      </c>
      <c r="I329" s="76" t="s">
        <v>13</v>
      </c>
      <c r="J329" s="79">
        <f>J$328</f>
        <v>0</v>
      </c>
      <c r="K329" s="77">
        <f>J329*H329</f>
        <v>0</v>
      </c>
      <c r="L329" s="78"/>
    </row>
    <row r="330" spans="1:12" s="1" customFormat="1" ht="16.5" thickBot="1" x14ac:dyDescent="0.25">
      <c r="A330" s="72" t="str">
        <f>IF(F330&lt;&gt;"",1+MAX($A$1:A329),"")</f>
        <v/>
      </c>
      <c r="B330" s="30"/>
      <c r="C330" s="2"/>
      <c r="D330" s="29"/>
      <c r="F330" s="31"/>
      <c r="G330" s="32"/>
      <c r="H330" s="31"/>
      <c r="I330" s="33"/>
      <c r="J330" s="45"/>
      <c r="K330" s="41"/>
      <c r="L330" s="36"/>
    </row>
    <row r="331" spans="1:12" s="1" customFormat="1" ht="16.5" thickBot="1" x14ac:dyDescent="0.25">
      <c r="A331" s="72" t="str">
        <f>IF(F331&lt;&gt;"",1+MAX($A$1:A330),"")</f>
        <v/>
      </c>
      <c r="B331" s="2"/>
      <c r="C331" s="2"/>
      <c r="D331" s="29"/>
      <c r="E331" s="35" t="s">
        <v>648</v>
      </c>
      <c r="F331" s="25"/>
      <c r="G331" s="20"/>
      <c r="H331" s="3"/>
      <c r="I331" s="21"/>
      <c r="J331" s="269"/>
      <c r="K331" s="42"/>
      <c r="L331" s="37">
        <f>SUM(K325:K330)</f>
        <v>0</v>
      </c>
    </row>
    <row r="332" spans="1:12" s="268" customFormat="1" ht="19.5" thickBot="1" x14ac:dyDescent="0.25">
      <c r="A332" s="72" t="str">
        <f>IF(F332&lt;&gt;"",1+MAX($A$1:A331),"")</f>
        <v/>
      </c>
      <c r="B332" s="73"/>
      <c r="C332" s="266"/>
      <c r="D332" s="270"/>
      <c r="E332" s="228"/>
      <c r="F332" s="264"/>
      <c r="G332" s="74"/>
      <c r="H332" s="74"/>
      <c r="I332" s="74"/>
      <c r="J332" s="74"/>
      <c r="K332" s="77"/>
      <c r="L332" s="78"/>
    </row>
    <row r="333" spans="1:12" ht="16.5" thickBot="1" x14ac:dyDescent="0.25">
      <c r="A333" s="72" t="str">
        <f>IF(F333&lt;&gt;"",1+MAX($A$1:A332),"")</f>
        <v/>
      </c>
      <c r="B333" s="38"/>
      <c r="C333" s="22"/>
      <c r="D333" s="226" t="s">
        <v>669</v>
      </c>
      <c r="E333" s="34" t="s">
        <v>670</v>
      </c>
      <c r="F333" s="19"/>
      <c r="G333" s="19"/>
      <c r="H333" s="19"/>
      <c r="I333" s="19"/>
      <c r="J333" s="19"/>
      <c r="K333" s="40"/>
      <c r="L333" s="36"/>
    </row>
    <row r="334" spans="1:12" s="121" customFormat="1" ht="16.5" thickBot="1" x14ac:dyDescent="0.25">
      <c r="A334" s="72" t="str">
        <f>IF(F334&lt;&gt;"",1+MAX($A$1:A333),"")</f>
        <v/>
      </c>
      <c r="B334" s="191"/>
      <c r="C334" s="222"/>
      <c r="D334" s="192"/>
      <c r="E334" s="192" t="s">
        <v>992</v>
      </c>
      <c r="F334" s="193"/>
      <c r="G334" s="194"/>
      <c r="H334" s="245"/>
      <c r="I334" s="246"/>
      <c r="J334" s="197"/>
      <c r="K334" s="198"/>
      <c r="L334" s="137"/>
    </row>
    <row r="335" spans="1:12" s="121" customFormat="1" x14ac:dyDescent="0.2">
      <c r="A335" s="72" t="str">
        <f>IF(F335&lt;&gt;"",1+MAX($A$1:A334),"")</f>
        <v/>
      </c>
      <c r="B335" s="138"/>
      <c r="C335" s="26"/>
      <c r="D335" s="133"/>
      <c r="E335" s="139" t="s">
        <v>994</v>
      </c>
      <c r="F335" s="134"/>
      <c r="G335" s="20"/>
      <c r="H335" s="140"/>
      <c r="I335" s="4"/>
      <c r="J335" s="271"/>
      <c r="K335" s="142"/>
      <c r="L335" s="137"/>
    </row>
    <row r="336" spans="1:12" s="121" customFormat="1" x14ac:dyDescent="0.2">
      <c r="A336" s="72">
        <f>IF(F336&lt;&gt;"",1+MAX($A$1:A335),"")</f>
        <v>218</v>
      </c>
      <c r="B336" s="2" t="s">
        <v>88</v>
      </c>
      <c r="C336" s="200"/>
      <c r="D336" s="199"/>
      <c r="E336" s="250" t="s">
        <v>998</v>
      </c>
      <c r="F336" s="189">
        <f>6*12.5*33</f>
        <v>2475</v>
      </c>
      <c r="G336" s="74">
        <v>0.1</v>
      </c>
      <c r="H336" s="3">
        <f>F336*(1+G336)</f>
        <v>2722.5</v>
      </c>
      <c r="I336" s="21" t="s">
        <v>573</v>
      </c>
      <c r="J336" s="144">
        <v>0</v>
      </c>
      <c r="K336" s="136">
        <f>J336*H336</f>
        <v>0</v>
      </c>
      <c r="L336" s="137"/>
    </row>
    <row r="337" spans="1:12" s="121" customFormat="1" x14ac:dyDescent="0.2">
      <c r="A337" s="72" t="str">
        <f>IF(F337&lt;&gt;"",1+MAX($A$1:A336),"")</f>
        <v/>
      </c>
      <c r="B337" s="138"/>
      <c r="C337" s="26"/>
      <c r="D337" s="133"/>
      <c r="E337" s="139" t="s">
        <v>995</v>
      </c>
      <c r="F337" s="134"/>
      <c r="G337" s="20"/>
      <c r="H337" s="140"/>
      <c r="I337" s="4"/>
      <c r="J337" s="271"/>
      <c r="K337" s="142"/>
      <c r="L337" s="137"/>
    </row>
    <row r="338" spans="1:12" s="121" customFormat="1" x14ac:dyDescent="0.2">
      <c r="A338" s="72">
        <f>IF(F338&lt;&gt;"",1+MAX($A$1:A337),"")</f>
        <v>219</v>
      </c>
      <c r="B338" s="2" t="s">
        <v>88</v>
      </c>
      <c r="C338" s="200"/>
      <c r="D338" s="199"/>
      <c r="E338" s="250" t="s">
        <v>999</v>
      </c>
      <c r="F338" s="189">
        <f>23.4*22</f>
        <v>514.79999999999995</v>
      </c>
      <c r="G338" s="74">
        <v>0.1</v>
      </c>
      <c r="H338" s="3">
        <f>F338*(1+G338)</f>
        <v>566.28</v>
      </c>
      <c r="I338" s="21" t="s">
        <v>573</v>
      </c>
      <c r="J338" s="135">
        <f>J$336</f>
        <v>0</v>
      </c>
      <c r="K338" s="136">
        <f>J338*H338</f>
        <v>0</v>
      </c>
      <c r="L338" s="137"/>
    </row>
    <row r="339" spans="1:12" s="121" customFormat="1" x14ac:dyDescent="0.2">
      <c r="A339" s="72">
        <f>IF(F339&lt;&gt;"",1+MAX($A$1:A338),"")</f>
        <v>220</v>
      </c>
      <c r="B339" s="2" t="s">
        <v>88</v>
      </c>
      <c r="C339" s="200"/>
      <c r="D339" s="199"/>
      <c r="E339" s="250" t="s">
        <v>1000</v>
      </c>
      <c r="F339" s="189">
        <f>21.4*31</f>
        <v>663.4</v>
      </c>
      <c r="G339" s="74">
        <v>0.1</v>
      </c>
      <c r="H339" s="3">
        <f>F339*(1+G339)</f>
        <v>729.74</v>
      </c>
      <c r="I339" s="21" t="s">
        <v>573</v>
      </c>
      <c r="J339" s="135">
        <f t="shared" ref="J339:J347" si="109">J$336</f>
        <v>0</v>
      </c>
      <c r="K339" s="136">
        <f>J339*H339</f>
        <v>0</v>
      </c>
      <c r="L339" s="137"/>
    </row>
    <row r="340" spans="1:12" s="121" customFormat="1" x14ac:dyDescent="0.2">
      <c r="A340" s="72">
        <f>IF(F340&lt;&gt;"",1+MAX($A$1:A339),"")</f>
        <v>221</v>
      </c>
      <c r="B340" s="2" t="s">
        <v>88</v>
      </c>
      <c r="C340" s="200"/>
      <c r="D340" s="199"/>
      <c r="E340" s="250" t="s">
        <v>1001</v>
      </c>
      <c r="F340" s="189">
        <f>58.3*44</f>
        <v>2565.1999999999998</v>
      </c>
      <c r="G340" s="74">
        <v>0.1</v>
      </c>
      <c r="H340" s="3">
        <f>F340*(1+G340)</f>
        <v>2821.7200000000003</v>
      </c>
      <c r="I340" s="21" t="s">
        <v>573</v>
      </c>
      <c r="J340" s="135">
        <f t="shared" si="109"/>
        <v>0</v>
      </c>
      <c r="K340" s="136">
        <f>J340*H340</f>
        <v>0</v>
      </c>
      <c r="L340" s="137"/>
    </row>
    <row r="341" spans="1:12" s="121" customFormat="1" x14ac:dyDescent="0.2">
      <c r="A341" s="72">
        <f>IF(F341&lt;&gt;"",1+MAX($A$1:A340),"")</f>
        <v>222</v>
      </c>
      <c r="B341" s="2" t="s">
        <v>88</v>
      </c>
      <c r="C341" s="200"/>
      <c r="D341" s="199"/>
      <c r="E341" s="250" t="s">
        <v>1002</v>
      </c>
      <c r="F341" s="189">
        <f>26.3*68</f>
        <v>1788.4</v>
      </c>
      <c r="G341" s="74">
        <v>0.1</v>
      </c>
      <c r="H341" s="3">
        <f>F341*(1+G341)</f>
        <v>1967.2400000000002</v>
      </c>
      <c r="I341" s="21" t="s">
        <v>573</v>
      </c>
      <c r="J341" s="135">
        <f t="shared" si="109"/>
        <v>0</v>
      </c>
      <c r="K341" s="136">
        <f>J341*H341</f>
        <v>0</v>
      </c>
      <c r="L341" s="137"/>
    </row>
    <row r="342" spans="1:12" s="121" customFormat="1" x14ac:dyDescent="0.2">
      <c r="A342" s="72">
        <f>IF(F342&lt;&gt;"",1+MAX($A$1:A341),"")</f>
        <v>223</v>
      </c>
      <c r="B342" s="2" t="s">
        <v>88</v>
      </c>
      <c r="C342" s="200"/>
      <c r="D342" s="199"/>
      <c r="E342" s="250" t="s">
        <v>1003</v>
      </c>
      <c r="F342" s="189">
        <f>9.2*24</f>
        <v>220.79999999999998</v>
      </c>
      <c r="G342" s="74">
        <v>0.1</v>
      </c>
      <c r="H342" s="3">
        <f>F342*(1+G342)</f>
        <v>242.88</v>
      </c>
      <c r="I342" s="21" t="s">
        <v>573</v>
      </c>
      <c r="J342" s="135">
        <f t="shared" si="109"/>
        <v>0</v>
      </c>
      <c r="K342" s="136">
        <f>J342*H342</f>
        <v>0</v>
      </c>
      <c r="L342" s="137"/>
    </row>
    <row r="343" spans="1:12" s="121" customFormat="1" x14ac:dyDescent="0.2">
      <c r="A343" s="72" t="str">
        <f>IF(F343&lt;&gt;"",1+MAX($A$1:A342),"")</f>
        <v/>
      </c>
      <c r="B343" s="138"/>
      <c r="C343" s="26"/>
      <c r="D343" s="133"/>
      <c r="E343" s="139" t="s">
        <v>996</v>
      </c>
      <c r="F343" s="134"/>
      <c r="G343" s="20"/>
      <c r="H343" s="140"/>
      <c r="I343" s="4"/>
      <c r="J343" s="271"/>
      <c r="K343" s="142"/>
      <c r="L343" s="137"/>
    </row>
    <row r="344" spans="1:12" s="121" customFormat="1" ht="31.5" x14ac:dyDescent="0.2">
      <c r="A344" s="72">
        <f>IF(F344&lt;&gt;"",1+MAX($A$1:A343),"")</f>
        <v>224</v>
      </c>
      <c r="B344" s="2" t="s">
        <v>88</v>
      </c>
      <c r="C344" s="200"/>
      <c r="D344" s="199"/>
      <c r="E344" s="250" t="s">
        <v>1007</v>
      </c>
      <c r="F344" s="189">
        <f>6*72.6016</f>
        <v>435.6096</v>
      </c>
      <c r="G344" s="74">
        <v>0.1</v>
      </c>
      <c r="H344" s="3">
        <f>F344*(1+G344)</f>
        <v>479.17056000000002</v>
      </c>
      <c r="I344" s="21" t="s">
        <v>573</v>
      </c>
      <c r="J344" s="135">
        <f t="shared" si="109"/>
        <v>0</v>
      </c>
      <c r="K344" s="136">
        <f>J344*H344</f>
        <v>0</v>
      </c>
      <c r="L344" s="137"/>
    </row>
    <row r="345" spans="1:12" s="121" customFormat="1" x14ac:dyDescent="0.2">
      <c r="A345" s="72" t="str">
        <f>IF(F345&lt;&gt;"",1+MAX($A$1:A344),"")</f>
        <v/>
      </c>
      <c r="B345" s="138"/>
      <c r="C345" s="26"/>
      <c r="D345" s="133"/>
      <c r="E345" s="139" t="s">
        <v>997</v>
      </c>
      <c r="F345" s="134"/>
      <c r="G345" s="20"/>
      <c r="H345" s="140"/>
      <c r="I345" s="4"/>
      <c r="J345" s="271"/>
      <c r="K345" s="142"/>
      <c r="L345" s="137"/>
    </row>
    <row r="346" spans="1:12" s="121" customFormat="1" ht="31.5" x14ac:dyDescent="0.2">
      <c r="A346" s="72">
        <f>IF(F346&lt;&gt;"",1+MAX($A$1:A345),"")</f>
        <v>225</v>
      </c>
      <c r="B346" s="2" t="s">
        <v>88</v>
      </c>
      <c r="C346" s="200"/>
      <c r="D346" s="199"/>
      <c r="E346" s="250" t="s">
        <v>1008</v>
      </c>
      <c r="F346" s="189">
        <f>4*15.8816</f>
        <v>63.526400000000002</v>
      </c>
      <c r="G346" s="74">
        <v>0.1</v>
      </c>
      <c r="H346" s="3">
        <f>F346*(1+G346)</f>
        <v>69.879040000000003</v>
      </c>
      <c r="I346" s="21" t="s">
        <v>573</v>
      </c>
      <c r="J346" s="135">
        <f t="shared" si="109"/>
        <v>0</v>
      </c>
      <c r="K346" s="136">
        <f>J346*H346</f>
        <v>0</v>
      </c>
      <c r="L346" s="137"/>
    </row>
    <row r="347" spans="1:12" s="121" customFormat="1" ht="31.5" x14ac:dyDescent="0.2">
      <c r="A347" s="72">
        <f>IF(F347&lt;&gt;"",1+MAX($A$1:A346),"")</f>
        <v>226</v>
      </c>
      <c r="B347" s="2" t="s">
        <v>88</v>
      </c>
      <c r="C347" s="200"/>
      <c r="D347" s="199"/>
      <c r="E347" s="250" t="s">
        <v>1009</v>
      </c>
      <c r="F347" s="189">
        <f>2*6.8064</f>
        <v>13.6128</v>
      </c>
      <c r="G347" s="74">
        <v>0.1</v>
      </c>
      <c r="H347" s="3">
        <f>F347*(1+G347)</f>
        <v>14.974080000000001</v>
      </c>
      <c r="I347" s="21" t="s">
        <v>573</v>
      </c>
      <c r="J347" s="135">
        <f t="shared" si="109"/>
        <v>0</v>
      </c>
      <c r="K347" s="136">
        <f>J347*H347</f>
        <v>0</v>
      </c>
      <c r="L347" s="137"/>
    </row>
    <row r="348" spans="1:12" s="121" customFormat="1" x14ac:dyDescent="0.2">
      <c r="A348" s="72" t="str">
        <f>IF(F348&lt;&gt;"",1+MAX($A$1:A347),"")</f>
        <v/>
      </c>
      <c r="B348" s="138"/>
      <c r="C348" s="26"/>
      <c r="D348" s="133"/>
      <c r="E348" s="139" t="s">
        <v>1011</v>
      </c>
      <c r="F348" s="134"/>
      <c r="G348" s="20"/>
      <c r="H348" s="140"/>
      <c r="I348" s="4"/>
      <c r="J348" s="271"/>
      <c r="K348" s="142"/>
      <c r="L348" s="137"/>
    </row>
    <row r="349" spans="1:12" s="121" customFormat="1" x14ac:dyDescent="0.2">
      <c r="A349" s="72">
        <f>IF(F349&lt;&gt;"",1+MAX($A$1:A348),"")</f>
        <v>227</v>
      </c>
      <c r="B349" s="2" t="s">
        <v>88</v>
      </c>
      <c r="C349" s="200"/>
      <c r="D349" s="199"/>
      <c r="E349" s="250" t="s">
        <v>1010</v>
      </c>
      <c r="F349" s="189">
        <f>(12.3+18)*12.3</f>
        <v>372.69000000000005</v>
      </c>
      <c r="G349" s="74">
        <v>0.1</v>
      </c>
      <c r="H349" s="3">
        <f>F349*(1+G349)</f>
        <v>409.95900000000012</v>
      </c>
      <c r="I349" s="21" t="s">
        <v>573</v>
      </c>
      <c r="J349" s="135">
        <f t="shared" ref="J349:J350" si="110">J$336</f>
        <v>0</v>
      </c>
      <c r="K349" s="136">
        <f>J349*H349</f>
        <v>0</v>
      </c>
      <c r="L349" s="137"/>
    </row>
    <row r="350" spans="1:12" s="121" customFormat="1" x14ac:dyDescent="0.2">
      <c r="A350" s="72">
        <f>IF(F350&lt;&gt;"",1+MAX($A$1:A349),"")</f>
        <v>228</v>
      </c>
      <c r="B350" s="2" t="s">
        <v>88</v>
      </c>
      <c r="C350" s="200"/>
      <c r="D350" s="199"/>
      <c r="E350" s="250" t="s">
        <v>1012</v>
      </c>
      <c r="F350" s="189">
        <f>44*8.7</f>
        <v>382.79999999999995</v>
      </c>
      <c r="G350" s="74">
        <v>0.1</v>
      </c>
      <c r="H350" s="3">
        <f>F350*(1+G350)</f>
        <v>421.08</v>
      </c>
      <c r="I350" s="21" t="s">
        <v>573</v>
      </c>
      <c r="J350" s="135">
        <f t="shared" si="110"/>
        <v>0</v>
      </c>
      <c r="K350" s="136">
        <f>J350*H350</f>
        <v>0</v>
      </c>
      <c r="L350" s="137"/>
    </row>
    <row r="351" spans="1:12" s="121" customFormat="1" x14ac:dyDescent="0.2">
      <c r="A351" s="72" t="str">
        <f>IF(F351&lt;&gt;"",1+MAX($A$1:A350),"")</f>
        <v/>
      </c>
      <c r="B351" s="138"/>
      <c r="C351" s="26"/>
      <c r="D351" s="133"/>
      <c r="E351" s="139" t="s">
        <v>1005</v>
      </c>
      <c r="F351" s="134"/>
      <c r="G351" s="20"/>
      <c r="H351" s="140"/>
      <c r="I351" s="4"/>
      <c r="J351" s="271"/>
      <c r="K351" s="142"/>
      <c r="L351" s="137"/>
    </row>
    <row r="352" spans="1:12" s="121" customFormat="1" x14ac:dyDescent="0.2">
      <c r="A352" s="72">
        <f>IF(F352&lt;&gt;"",1+MAX($A$1:A351),"")</f>
        <v>229</v>
      </c>
      <c r="B352" s="2" t="s">
        <v>88</v>
      </c>
      <c r="C352" s="200"/>
      <c r="D352" s="199"/>
      <c r="E352" s="250" t="s">
        <v>1004</v>
      </c>
      <c r="F352" s="189">
        <f>6*4</f>
        <v>24</v>
      </c>
      <c r="G352" s="74">
        <v>0</v>
      </c>
      <c r="H352" s="3">
        <f>F352*(1+G352)</f>
        <v>24</v>
      </c>
      <c r="I352" s="21" t="s">
        <v>677</v>
      </c>
      <c r="J352" s="144">
        <v>0</v>
      </c>
      <c r="K352" s="136">
        <f>J352*H352</f>
        <v>0</v>
      </c>
      <c r="L352" s="137"/>
    </row>
    <row r="353" spans="1:12" s="121" customFormat="1" x14ac:dyDescent="0.2">
      <c r="A353" s="72">
        <f>IF(F353&lt;&gt;"",1+MAX($A$1:A352),"")</f>
        <v>230</v>
      </c>
      <c r="B353" s="2" t="s">
        <v>88</v>
      </c>
      <c r="C353" s="200"/>
      <c r="D353" s="199"/>
      <c r="E353" s="250" t="s">
        <v>1006</v>
      </c>
      <c r="F353" s="189">
        <f>6*2</f>
        <v>12</v>
      </c>
      <c r="G353" s="74">
        <v>0</v>
      </c>
      <c r="H353" s="3">
        <f>F353*(1+G353)</f>
        <v>12</v>
      </c>
      <c r="I353" s="21" t="s">
        <v>677</v>
      </c>
      <c r="J353" s="144">
        <v>0</v>
      </c>
      <c r="K353" s="136">
        <f>J353*H353</f>
        <v>0</v>
      </c>
      <c r="L353" s="137"/>
    </row>
    <row r="354" spans="1:12" s="121" customFormat="1" x14ac:dyDescent="0.2">
      <c r="A354" s="72" t="str">
        <f>IF(F354&lt;&gt;"",1+MAX($A$1:A353),"")</f>
        <v/>
      </c>
      <c r="B354" s="138"/>
      <c r="C354" s="26"/>
      <c r="D354" s="133"/>
      <c r="E354" s="139" t="s">
        <v>1014</v>
      </c>
      <c r="F354" s="134"/>
      <c r="G354" s="20"/>
      <c r="H354" s="140"/>
      <c r="I354" s="4"/>
      <c r="J354" s="271"/>
      <c r="K354" s="142"/>
      <c r="L354" s="137"/>
    </row>
    <row r="355" spans="1:12" s="121" customFormat="1" x14ac:dyDescent="0.2">
      <c r="A355" s="72">
        <f>IF(F355&lt;&gt;"",1+MAX($A$1:A354),"")</f>
        <v>231</v>
      </c>
      <c r="B355" s="2" t="s">
        <v>88</v>
      </c>
      <c r="C355" s="200"/>
      <c r="D355" s="199"/>
      <c r="E355" s="250" t="s">
        <v>1013</v>
      </c>
      <c r="F355" s="189">
        <f>(9496*0.05)</f>
        <v>474.8</v>
      </c>
      <c r="G355" s="74">
        <v>0.1</v>
      </c>
      <c r="H355" s="3">
        <f>F355*(1+G355)</f>
        <v>522.28000000000009</v>
      </c>
      <c r="I355" s="21" t="s">
        <v>573</v>
      </c>
      <c r="J355" s="135">
        <f t="shared" ref="J355" si="111">J$336</f>
        <v>0</v>
      </c>
      <c r="K355" s="136">
        <f>J355*H355</f>
        <v>0</v>
      </c>
      <c r="L355" s="137"/>
    </row>
    <row r="356" spans="1:12" s="121" customFormat="1" x14ac:dyDescent="0.2">
      <c r="A356" s="72">
        <f>IF(F356&lt;&gt;"",1+MAX($A$1:A355),"")</f>
        <v>232</v>
      </c>
      <c r="B356" s="2" t="s">
        <v>88</v>
      </c>
      <c r="C356" s="200"/>
      <c r="D356" s="199"/>
      <c r="E356" s="250" t="s">
        <v>1015</v>
      </c>
      <c r="F356" s="189">
        <v>1</v>
      </c>
      <c r="G356" s="74">
        <v>0</v>
      </c>
      <c r="H356" s="3">
        <f>F356*(1+G356)</f>
        <v>1</v>
      </c>
      <c r="I356" s="21" t="s">
        <v>48</v>
      </c>
      <c r="J356" s="144">
        <v>0</v>
      </c>
      <c r="K356" s="136">
        <f>J356*H356</f>
        <v>0</v>
      </c>
      <c r="L356" s="137"/>
    </row>
    <row r="357" spans="1:12" s="121" customFormat="1" ht="16.5" thickBot="1" x14ac:dyDescent="0.25">
      <c r="A357" s="72" t="str">
        <f>IF(F357&lt;&gt;"",1+MAX($A$1:A356),"")</f>
        <v/>
      </c>
      <c r="B357" s="200"/>
      <c r="C357" s="223"/>
      <c r="D357" s="2"/>
      <c r="E357" s="234"/>
      <c r="F357" s="202"/>
      <c r="G357" s="203"/>
      <c r="H357" s="202"/>
      <c r="I357" s="204"/>
      <c r="J357" s="205"/>
      <c r="K357" s="206"/>
      <c r="L357" s="207"/>
    </row>
    <row r="358" spans="1:12" s="121" customFormat="1" ht="16.5" thickBot="1" x14ac:dyDescent="0.25">
      <c r="A358" s="72" t="str">
        <f>IF(F358&lt;&gt;"",1+MAX($A$1:A357),"")</f>
        <v/>
      </c>
      <c r="B358" s="200"/>
      <c r="C358" s="223"/>
      <c r="D358" s="201"/>
      <c r="E358" s="35" t="s">
        <v>993</v>
      </c>
      <c r="F358" s="208"/>
      <c r="G358" s="209"/>
      <c r="H358" s="210"/>
      <c r="I358" s="211"/>
      <c r="J358" s="212"/>
      <c r="K358" s="42"/>
      <c r="L358" s="213">
        <f>SUM(K334:K357)</f>
        <v>0</v>
      </c>
    </row>
    <row r="359" spans="1:12" s="121" customFormat="1" ht="16.5" thickBot="1" x14ac:dyDescent="0.25">
      <c r="A359" s="72" t="str">
        <f>IF(F359&lt;&gt;"",1+MAX($A$1:A358),"")</f>
        <v/>
      </c>
      <c r="B359" s="200"/>
      <c r="C359" s="223"/>
      <c r="D359" s="201"/>
      <c r="E359" s="214"/>
      <c r="F359" s="13"/>
      <c r="G359" s="190"/>
      <c r="H359" s="3"/>
      <c r="I359" s="21"/>
      <c r="J359" s="135"/>
      <c r="K359" s="136"/>
      <c r="L359" s="137"/>
    </row>
    <row r="360" spans="1:12" s="121" customFormat="1" ht="16.5" thickBot="1" x14ac:dyDescent="0.25">
      <c r="A360" s="72" t="str">
        <f>IF(F360&lt;&gt;"",1+MAX($A$1:A359),"")</f>
        <v/>
      </c>
      <c r="B360" s="191"/>
      <c r="C360" s="222"/>
      <c r="D360" s="192"/>
      <c r="E360" s="192" t="s">
        <v>671</v>
      </c>
      <c r="F360" s="193"/>
      <c r="G360" s="194"/>
      <c r="H360" s="195"/>
      <c r="I360" s="196"/>
      <c r="J360" s="197"/>
      <c r="K360" s="198"/>
      <c r="L360" s="137"/>
    </row>
    <row r="361" spans="1:12" s="121" customFormat="1" ht="78.75" x14ac:dyDescent="0.2">
      <c r="A361" s="72">
        <f>IF(F361&lt;&gt;"",1+MAX($A$1:A360),"")</f>
        <v>233</v>
      </c>
      <c r="B361" s="2" t="s">
        <v>88</v>
      </c>
      <c r="C361" s="200" t="s">
        <v>673</v>
      </c>
      <c r="D361" s="199"/>
      <c r="E361" s="250" t="s">
        <v>672</v>
      </c>
      <c r="F361" s="189">
        <v>1</v>
      </c>
      <c r="G361" s="74">
        <v>0</v>
      </c>
      <c r="H361" s="3">
        <f>F361*(1+G361)</f>
        <v>1</v>
      </c>
      <c r="I361" s="21" t="s">
        <v>48</v>
      </c>
      <c r="J361" s="144">
        <v>0</v>
      </c>
      <c r="K361" s="136">
        <f>J361*H361</f>
        <v>0</v>
      </c>
      <c r="L361" s="137"/>
    </row>
    <row r="362" spans="1:12" s="121" customFormat="1" ht="16.5" thickBot="1" x14ac:dyDescent="0.25">
      <c r="A362" s="72" t="str">
        <f>IF(F362&lt;&gt;"",1+MAX($A$1:A361),"")</f>
        <v/>
      </c>
      <c r="B362" s="200"/>
      <c r="C362" s="223"/>
      <c r="D362" s="2"/>
      <c r="E362" s="234"/>
      <c r="F362" s="202"/>
      <c r="G362" s="203"/>
      <c r="H362" s="202"/>
      <c r="I362" s="204"/>
      <c r="J362" s="205"/>
      <c r="K362" s="206"/>
      <c r="L362" s="207"/>
    </row>
    <row r="363" spans="1:12" s="121" customFormat="1" ht="16.5" thickBot="1" x14ac:dyDescent="0.25">
      <c r="A363" s="72" t="str">
        <f>IF(F363&lt;&gt;"",1+MAX($A$1:A362),"")</f>
        <v/>
      </c>
      <c r="B363" s="200"/>
      <c r="C363" s="223"/>
      <c r="D363" s="201"/>
      <c r="E363" s="35" t="s">
        <v>674</v>
      </c>
      <c r="F363" s="208"/>
      <c r="G363" s="209"/>
      <c r="H363" s="210"/>
      <c r="I363" s="211"/>
      <c r="J363" s="212"/>
      <c r="K363" s="42"/>
      <c r="L363" s="213">
        <f>SUM(K360:K362)</f>
        <v>0</v>
      </c>
    </row>
    <row r="364" spans="1:12" s="121" customFormat="1" ht="16.5" thickBot="1" x14ac:dyDescent="0.25">
      <c r="A364" s="72" t="str">
        <f>IF(F364&lt;&gt;"",1+MAX($A$1:A363),"")</f>
        <v/>
      </c>
      <c r="B364" s="200"/>
      <c r="C364" s="223"/>
      <c r="D364" s="201"/>
      <c r="E364" s="214"/>
      <c r="F364" s="13"/>
      <c r="G364" s="190"/>
      <c r="H364" s="3"/>
      <c r="I364" s="21"/>
      <c r="J364" s="135"/>
      <c r="K364" s="136"/>
      <c r="L364" s="137"/>
    </row>
    <row r="365" spans="1:12" s="121" customFormat="1" ht="16.5" thickBot="1" x14ac:dyDescent="0.25">
      <c r="A365" s="72" t="str">
        <f>IF(F365&lt;&gt;"",1+MAX($A$1:A364),"")</f>
        <v/>
      </c>
      <c r="B365" s="191"/>
      <c r="C365" s="222"/>
      <c r="D365" s="192"/>
      <c r="E365" s="192" t="s">
        <v>688</v>
      </c>
      <c r="F365" s="193"/>
      <c r="G365" s="194"/>
      <c r="H365" s="195"/>
      <c r="I365" s="196"/>
      <c r="J365" s="197"/>
      <c r="K365" s="198"/>
      <c r="L365" s="137"/>
    </row>
    <row r="366" spans="1:12" s="121" customFormat="1" ht="110.25" x14ac:dyDescent="0.2">
      <c r="A366" s="72">
        <f>IF(F366&lt;&gt;"",1+MAX($A$1:A365),"")</f>
        <v>234</v>
      </c>
      <c r="B366" s="2" t="s">
        <v>88</v>
      </c>
      <c r="C366" s="200" t="s">
        <v>673</v>
      </c>
      <c r="D366" s="199"/>
      <c r="E366" s="214" t="s">
        <v>690</v>
      </c>
      <c r="F366" s="189">
        <f>5.58*12</f>
        <v>66.960000000000008</v>
      </c>
      <c r="G366" s="74">
        <v>0.1</v>
      </c>
      <c r="H366" s="3">
        <f>F366*(1+G366)</f>
        <v>73.65600000000002</v>
      </c>
      <c r="I366" s="21" t="s">
        <v>16</v>
      </c>
      <c r="J366" s="144">
        <v>0</v>
      </c>
      <c r="K366" s="136">
        <f>J366*H366</f>
        <v>0</v>
      </c>
      <c r="L366" s="137"/>
    </row>
    <row r="367" spans="1:12" s="121" customFormat="1" ht="16.5" thickBot="1" x14ac:dyDescent="0.25">
      <c r="A367" s="72" t="str">
        <f>IF(F367&lt;&gt;"",1+MAX($A$1:A366),"")</f>
        <v/>
      </c>
      <c r="B367" s="200"/>
      <c r="C367" s="223"/>
      <c r="D367" s="2"/>
      <c r="E367" s="234"/>
      <c r="F367" s="202"/>
      <c r="G367" s="203"/>
      <c r="H367" s="202"/>
      <c r="I367" s="204"/>
      <c r="J367" s="205"/>
      <c r="K367" s="206"/>
      <c r="L367" s="207"/>
    </row>
    <row r="368" spans="1:12" s="121" customFormat="1" ht="16.5" thickBot="1" x14ac:dyDescent="0.25">
      <c r="A368" s="72" t="str">
        <f>IF(F368&lt;&gt;"",1+MAX($A$1:A367),"")</f>
        <v/>
      </c>
      <c r="B368" s="200"/>
      <c r="C368" s="223"/>
      <c r="D368" s="201"/>
      <c r="E368" s="35" t="s">
        <v>689</v>
      </c>
      <c r="F368" s="208"/>
      <c r="G368" s="209"/>
      <c r="H368" s="210"/>
      <c r="I368" s="211"/>
      <c r="J368" s="212"/>
      <c r="K368" s="42"/>
      <c r="L368" s="213">
        <f>SUM(K365:K367)</f>
        <v>0</v>
      </c>
    </row>
    <row r="369" spans="1:12" s="121" customFormat="1" ht="16.5" thickBot="1" x14ac:dyDescent="0.25">
      <c r="A369" s="72" t="str">
        <f>IF(F369&lt;&gt;"",1+MAX($A$1:A368),"")</f>
        <v/>
      </c>
      <c r="B369" s="200"/>
      <c r="C369" s="223"/>
      <c r="D369" s="201"/>
      <c r="E369" s="214"/>
      <c r="F369" s="13"/>
      <c r="G369" s="190"/>
      <c r="H369" s="3"/>
      <c r="I369" s="21"/>
      <c r="J369" s="135"/>
      <c r="K369" s="136"/>
      <c r="L369" s="137"/>
    </row>
    <row r="370" spans="1:12" s="121" customFormat="1" ht="16.5" thickBot="1" x14ac:dyDescent="0.25">
      <c r="A370" s="72" t="str">
        <f>IF(F370&lt;&gt;"",1+MAX($A$1:A369),"")</f>
        <v/>
      </c>
      <c r="B370" s="191"/>
      <c r="C370" s="222"/>
      <c r="D370" s="192"/>
      <c r="E370" s="192" t="s">
        <v>1031</v>
      </c>
      <c r="F370" s="193"/>
      <c r="G370" s="194"/>
      <c r="H370" s="195"/>
      <c r="I370" s="196"/>
      <c r="J370" s="197"/>
      <c r="K370" s="198"/>
      <c r="L370" s="137"/>
    </row>
    <row r="371" spans="1:12" s="121" customFormat="1" ht="31.5" x14ac:dyDescent="0.2">
      <c r="A371" s="72">
        <f>IF(F371&lt;&gt;"",1+MAX($A$1:A370),"")</f>
        <v>235</v>
      </c>
      <c r="B371" s="2" t="s">
        <v>88</v>
      </c>
      <c r="C371" s="200" t="s">
        <v>673</v>
      </c>
      <c r="D371" s="199"/>
      <c r="E371" s="278" t="s">
        <v>1032</v>
      </c>
      <c r="F371" s="189">
        <f>(4.5+2.5+1.5)*8</f>
        <v>68</v>
      </c>
      <c r="G371" s="74">
        <v>0.1</v>
      </c>
      <c r="H371" s="3">
        <f>F371*(1+G371)</f>
        <v>74.800000000000011</v>
      </c>
      <c r="I371" s="21" t="s">
        <v>13</v>
      </c>
      <c r="J371" s="144">
        <v>0</v>
      </c>
      <c r="K371" s="136">
        <f>J371*H371</f>
        <v>0</v>
      </c>
      <c r="L371" s="137"/>
    </row>
    <row r="372" spans="1:12" s="121" customFormat="1" ht="31.5" x14ac:dyDescent="0.2">
      <c r="A372" s="72">
        <f>IF(F372&lt;&gt;"",1+MAX($A$1:A371),"")</f>
        <v>236</v>
      </c>
      <c r="B372" s="2" t="s">
        <v>88</v>
      </c>
      <c r="C372" s="200" t="s">
        <v>673</v>
      </c>
      <c r="D372" s="199"/>
      <c r="E372" s="278" t="s">
        <v>1033</v>
      </c>
      <c r="F372" s="189">
        <f>(2.5+2.5)*8</f>
        <v>40</v>
      </c>
      <c r="G372" s="74">
        <v>0.1</v>
      </c>
      <c r="H372" s="3">
        <f>F372*(1+G372)</f>
        <v>44</v>
      </c>
      <c r="I372" s="21" t="s">
        <v>13</v>
      </c>
      <c r="J372" s="144">
        <v>0</v>
      </c>
      <c r="K372" s="136">
        <f>J372*H372</f>
        <v>0</v>
      </c>
      <c r="L372" s="137"/>
    </row>
    <row r="373" spans="1:12" s="121" customFormat="1" ht="31.5" x14ac:dyDescent="0.2">
      <c r="A373" s="72">
        <f>IF(F373&lt;&gt;"",1+MAX($A$1:A372),"")</f>
        <v>237</v>
      </c>
      <c r="B373" s="2" t="s">
        <v>88</v>
      </c>
      <c r="C373" s="200" t="s">
        <v>673</v>
      </c>
      <c r="D373" s="199"/>
      <c r="E373" s="278" t="s">
        <v>1034</v>
      </c>
      <c r="F373" s="189">
        <f>2*8</f>
        <v>16</v>
      </c>
      <c r="G373" s="74">
        <v>0.1</v>
      </c>
      <c r="H373" s="3">
        <f>F373*(1+G373)</f>
        <v>17.600000000000001</v>
      </c>
      <c r="I373" s="21" t="s">
        <v>13</v>
      </c>
      <c r="J373" s="144">
        <v>0</v>
      </c>
      <c r="K373" s="136">
        <f>J373*H373</f>
        <v>0</v>
      </c>
      <c r="L373" s="137"/>
    </row>
    <row r="374" spans="1:12" s="121" customFormat="1" ht="16.5" thickBot="1" x14ac:dyDescent="0.25">
      <c r="A374" s="72" t="str">
        <f>IF(F374&lt;&gt;"",1+MAX($A$1:A373),"")</f>
        <v/>
      </c>
      <c r="B374" s="200"/>
      <c r="C374" s="223"/>
      <c r="D374" s="2"/>
      <c r="E374" s="234"/>
      <c r="F374" s="202"/>
      <c r="G374" s="203"/>
      <c r="H374" s="202"/>
      <c r="I374" s="204"/>
      <c r="J374" s="205"/>
      <c r="K374" s="206"/>
      <c r="L374" s="207"/>
    </row>
    <row r="375" spans="1:12" s="121" customFormat="1" ht="16.5" thickBot="1" x14ac:dyDescent="0.25">
      <c r="A375" s="72" t="str">
        <f>IF(F375&lt;&gt;"",1+MAX($A$1:A374),"")</f>
        <v/>
      </c>
      <c r="B375" s="200"/>
      <c r="C375" s="223"/>
      <c r="D375" s="201"/>
      <c r="E375" s="35" t="s">
        <v>1030</v>
      </c>
      <c r="F375" s="208"/>
      <c r="G375" s="209"/>
      <c r="H375" s="210"/>
      <c r="I375" s="211"/>
      <c r="J375" s="212"/>
      <c r="K375" s="42"/>
      <c r="L375" s="213">
        <f>SUM(K370:K374)</f>
        <v>0</v>
      </c>
    </row>
    <row r="376" spans="1:12" s="121" customFormat="1" ht="16.5" thickBot="1" x14ac:dyDescent="0.25">
      <c r="A376" s="72" t="str">
        <f>IF(F376&lt;&gt;"",1+MAX($A$1:A375),"")</f>
        <v/>
      </c>
      <c r="B376" s="200"/>
      <c r="C376" s="223"/>
      <c r="D376" s="201"/>
      <c r="E376" s="214"/>
      <c r="F376" s="13"/>
      <c r="G376" s="190"/>
      <c r="H376" s="3"/>
      <c r="I376" s="21"/>
      <c r="J376" s="135"/>
      <c r="K376" s="136"/>
      <c r="L376" s="137"/>
    </row>
    <row r="377" spans="1:12" ht="16.5" thickBot="1" x14ac:dyDescent="0.25">
      <c r="A377" s="72" t="str">
        <f>IF(F377&lt;&gt;"",1+MAX($A$1:A376),"")</f>
        <v/>
      </c>
      <c r="B377" s="38"/>
      <c r="C377" s="22"/>
      <c r="D377" s="226" t="s">
        <v>54</v>
      </c>
      <c r="E377" s="34" t="s">
        <v>59</v>
      </c>
      <c r="F377" s="19"/>
      <c r="G377" s="19"/>
      <c r="H377" s="19"/>
      <c r="I377" s="19"/>
      <c r="J377" s="19"/>
      <c r="K377" s="40"/>
      <c r="L377" s="36"/>
    </row>
    <row r="378" spans="1:12" s="121" customFormat="1" ht="16.5" thickBot="1" x14ac:dyDescent="0.25">
      <c r="A378" s="72" t="str">
        <f>IF(F378&lt;&gt;"",1+MAX($A$1:A377),"")</f>
        <v/>
      </c>
      <c r="B378" s="191"/>
      <c r="C378" s="222"/>
      <c r="D378" s="192"/>
      <c r="E378" s="192" t="s">
        <v>55</v>
      </c>
      <c r="F378" s="193"/>
      <c r="G378" s="194"/>
      <c r="H378" s="195"/>
      <c r="I378" s="196"/>
      <c r="J378" s="197"/>
      <c r="K378" s="198"/>
      <c r="L378" s="137"/>
    </row>
    <row r="379" spans="1:12" s="121" customFormat="1" ht="31.5" x14ac:dyDescent="0.2">
      <c r="A379" s="72">
        <f>IF(F379&lt;&gt;"",1+MAX($A$1:A378),"")</f>
        <v>238</v>
      </c>
      <c r="B379" s="2" t="s">
        <v>88</v>
      </c>
      <c r="C379" s="200"/>
      <c r="D379" s="199"/>
      <c r="E379" s="250" t="s">
        <v>989</v>
      </c>
      <c r="F379" s="189">
        <v>1</v>
      </c>
      <c r="G379" s="74">
        <v>0</v>
      </c>
      <c r="H379" s="3">
        <f>F379*(1+G379)</f>
        <v>1</v>
      </c>
      <c r="I379" s="21" t="s">
        <v>48</v>
      </c>
      <c r="J379" s="144">
        <v>0</v>
      </c>
      <c r="K379" s="136">
        <f>J379*H379</f>
        <v>0</v>
      </c>
      <c r="L379" s="137"/>
    </row>
    <row r="380" spans="1:12" s="121" customFormat="1" ht="16.5" thickBot="1" x14ac:dyDescent="0.25">
      <c r="A380" s="72" t="str">
        <f>IF(F380&lt;&gt;"",1+MAX($A$1:A379),"")</f>
        <v/>
      </c>
      <c r="B380" s="200"/>
      <c r="C380" s="223"/>
      <c r="D380" s="2"/>
      <c r="E380" s="234"/>
      <c r="F380" s="202"/>
      <c r="G380" s="203"/>
      <c r="H380" s="202"/>
      <c r="I380" s="204"/>
      <c r="J380" s="205"/>
      <c r="K380" s="206"/>
      <c r="L380" s="207"/>
    </row>
    <row r="381" spans="1:12" s="121" customFormat="1" ht="16.5" thickBot="1" x14ac:dyDescent="0.25">
      <c r="A381" s="72" t="str">
        <f>IF(F381&lt;&gt;"",1+MAX($A$1:A380),"")</f>
        <v/>
      </c>
      <c r="B381" s="200"/>
      <c r="C381" s="223"/>
      <c r="D381" s="201"/>
      <c r="E381" s="35" t="s">
        <v>56</v>
      </c>
      <c r="F381" s="208"/>
      <c r="G381" s="209"/>
      <c r="H381" s="210"/>
      <c r="I381" s="211"/>
      <c r="J381" s="212"/>
      <c r="K381" s="42"/>
      <c r="L381" s="213">
        <f>SUM(K378:K380)</f>
        <v>0</v>
      </c>
    </row>
    <row r="382" spans="1:12" s="121" customFormat="1" ht="16.5" thickBot="1" x14ac:dyDescent="0.25">
      <c r="A382" s="72" t="str">
        <f>IF(F382&lt;&gt;"",1+MAX($A$1:A381),"")</f>
        <v/>
      </c>
      <c r="B382" s="200"/>
      <c r="C382" s="223"/>
      <c r="D382" s="201"/>
      <c r="E382" s="214"/>
      <c r="F382" s="13"/>
      <c r="G382" s="190"/>
      <c r="H382" s="3"/>
      <c r="I382" s="21"/>
      <c r="J382" s="135"/>
      <c r="K382" s="136"/>
      <c r="L382" s="137"/>
    </row>
    <row r="383" spans="1:12" s="121" customFormat="1" ht="16.5" thickBot="1" x14ac:dyDescent="0.25">
      <c r="A383" s="72" t="str">
        <f>IF(F383&lt;&gt;"",1+MAX($A$1:A382),"")</f>
        <v/>
      </c>
      <c r="B383" s="191"/>
      <c r="C383" s="222"/>
      <c r="D383" s="192"/>
      <c r="E383" s="192" t="s">
        <v>297</v>
      </c>
      <c r="F383" s="193"/>
      <c r="G383" s="194"/>
      <c r="H383" s="195"/>
      <c r="I383" s="196"/>
      <c r="J383" s="197"/>
      <c r="K383" s="198"/>
      <c r="L383" s="137"/>
    </row>
    <row r="384" spans="1:12" s="121" customFormat="1" ht="31.5" x14ac:dyDescent="0.2">
      <c r="A384" s="72">
        <f>IF(F384&lt;&gt;"",1+MAX($A$1:A383),"")</f>
        <v>239</v>
      </c>
      <c r="B384" s="2" t="s">
        <v>88</v>
      </c>
      <c r="C384" s="200"/>
      <c r="D384" s="199"/>
      <c r="E384" s="250" t="s">
        <v>988</v>
      </c>
      <c r="F384" s="189">
        <v>1</v>
      </c>
      <c r="G384" s="74">
        <v>0</v>
      </c>
      <c r="H384" s="3">
        <f>F384*(1+G384)</f>
        <v>1</v>
      </c>
      <c r="I384" s="21" t="s">
        <v>48</v>
      </c>
      <c r="J384" s="144">
        <v>0</v>
      </c>
      <c r="K384" s="136">
        <f>J384*H384</f>
        <v>0</v>
      </c>
      <c r="L384" s="137"/>
    </row>
    <row r="385" spans="1:12" s="121" customFormat="1" ht="16.5" thickBot="1" x14ac:dyDescent="0.25">
      <c r="A385" s="72" t="str">
        <f>IF(F385&lt;&gt;"",1+MAX($A$1:A384),"")</f>
        <v/>
      </c>
      <c r="B385" s="200"/>
      <c r="C385" s="223"/>
      <c r="D385" s="2"/>
      <c r="E385" s="234"/>
      <c r="F385" s="202"/>
      <c r="G385" s="203"/>
      <c r="H385" s="202"/>
      <c r="I385" s="204"/>
      <c r="J385" s="205"/>
      <c r="K385" s="206"/>
      <c r="L385" s="207"/>
    </row>
    <row r="386" spans="1:12" s="121" customFormat="1" ht="16.5" thickBot="1" x14ac:dyDescent="0.25">
      <c r="A386" s="72" t="str">
        <f>IF(F386&lt;&gt;"",1+MAX($A$1:A385),"")</f>
        <v/>
      </c>
      <c r="B386" s="200"/>
      <c r="C386" s="223"/>
      <c r="D386" s="201"/>
      <c r="E386" s="35" t="s">
        <v>452</v>
      </c>
      <c r="F386" s="208"/>
      <c r="G386" s="209"/>
      <c r="H386" s="210"/>
      <c r="I386" s="211"/>
      <c r="J386" s="212"/>
      <c r="K386" s="42"/>
      <c r="L386" s="213">
        <f>SUM(K383:K385)</f>
        <v>0</v>
      </c>
    </row>
    <row r="387" spans="1:12" s="121" customFormat="1" ht="16.5" thickBot="1" x14ac:dyDescent="0.25">
      <c r="A387" s="72" t="str">
        <f>IF(F387&lt;&gt;"",1+MAX($A$1:A386),"")</f>
        <v/>
      </c>
      <c r="B387" s="200"/>
      <c r="C387" s="223"/>
      <c r="D387" s="201"/>
      <c r="E387" s="214"/>
      <c r="F387" s="13"/>
      <c r="G387" s="190"/>
      <c r="H387" s="3"/>
      <c r="I387" s="21"/>
      <c r="J387" s="135"/>
      <c r="K387" s="136"/>
      <c r="L387" s="137"/>
    </row>
    <row r="388" spans="1:12" s="121" customFormat="1" ht="16.5" thickBot="1" x14ac:dyDescent="0.25">
      <c r="A388" s="72" t="str">
        <f>IF(F388&lt;&gt;"",1+MAX($A$1:A387),"")</f>
        <v/>
      </c>
      <c r="B388" s="191"/>
      <c r="C388" s="222"/>
      <c r="D388" s="192"/>
      <c r="E388" s="192" t="s">
        <v>436</v>
      </c>
      <c r="F388" s="193"/>
      <c r="G388" s="194"/>
      <c r="H388" s="195"/>
      <c r="I388" s="196"/>
      <c r="J388" s="197"/>
      <c r="K388" s="198"/>
      <c r="L388" s="137"/>
    </row>
    <row r="389" spans="1:12" s="121" customFormat="1" ht="47.25" x14ac:dyDescent="0.2">
      <c r="A389" s="72">
        <f>IF(F389&lt;&gt;"",1+MAX($A$1:A388),"")</f>
        <v>240</v>
      </c>
      <c r="B389" s="2" t="s">
        <v>163</v>
      </c>
      <c r="C389" s="200" t="s">
        <v>162</v>
      </c>
      <c r="D389" s="199"/>
      <c r="E389" s="143" t="s">
        <v>160</v>
      </c>
      <c r="F389" s="25">
        <f>63.5</f>
        <v>63.5</v>
      </c>
      <c r="G389" s="74">
        <v>0.1</v>
      </c>
      <c r="H389" s="3">
        <f>F389*(1+G389)</f>
        <v>69.850000000000009</v>
      </c>
      <c r="I389" s="21" t="s">
        <v>13</v>
      </c>
      <c r="J389" s="144">
        <v>0</v>
      </c>
      <c r="K389" s="136">
        <f>J389*H389</f>
        <v>0</v>
      </c>
      <c r="L389" s="137"/>
    </row>
    <row r="390" spans="1:12" s="121" customFormat="1" ht="31.5" x14ac:dyDescent="0.2">
      <c r="A390" s="72">
        <f>IF(F390&lt;&gt;"",1+MAX($A$1:A389),"")</f>
        <v>241</v>
      </c>
      <c r="B390" s="2" t="s">
        <v>163</v>
      </c>
      <c r="C390" s="200" t="s">
        <v>162</v>
      </c>
      <c r="D390" s="199"/>
      <c r="E390" s="143" t="s">
        <v>161</v>
      </c>
      <c r="F390" s="25">
        <v>80.2</v>
      </c>
      <c r="G390" s="74">
        <v>0.1</v>
      </c>
      <c r="H390" s="3">
        <f>F390*(1+G390)</f>
        <v>88.220000000000013</v>
      </c>
      <c r="I390" s="21" t="s">
        <v>13</v>
      </c>
      <c r="J390" s="144">
        <v>0</v>
      </c>
      <c r="K390" s="136">
        <f>J390*H390</f>
        <v>0</v>
      </c>
      <c r="L390" s="137"/>
    </row>
    <row r="391" spans="1:12" s="121" customFormat="1" ht="16.5" thickBot="1" x14ac:dyDescent="0.25">
      <c r="A391" s="72" t="str">
        <f>IF(F391&lt;&gt;"",1+MAX($A$1:A390),"")</f>
        <v/>
      </c>
      <c r="B391" s="200"/>
      <c r="C391" s="223"/>
      <c r="D391" s="2"/>
      <c r="E391" s="1"/>
      <c r="F391" s="202"/>
      <c r="G391" s="203"/>
      <c r="H391" s="202"/>
      <c r="I391" s="204"/>
      <c r="J391" s="205"/>
      <c r="K391" s="206"/>
      <c r="L391" s="207"/>
    </row>
    <row r="392" spans="1:12" s="121" customFormat="1" ht="16.5" thickBot="1" x14ac:dyDescent="0.25">
      <c r="A392" s="72" t="str">
        <f>IF(F392&lt;&gt;"",1+MAX($A$1:A391),"")</f>
        <v/>
      </c>
      <c r="B392" s="200"/>
      <c r="C392" s="223"/>
      <c r="D392" s="201"/>
      <c r="E392" s="35" t="s">
        <v>437</v>
      </c>
      <c r="F392" s="208"/>
      <c r="G392" s="209"/>
      <c r="H392" s="210"/>
      <c r="I392" s="211"/>
      <c r="J392" s="212"/>
      <c r="K392" s="42"/>
      <c r="L392" s="213">
        <f>SUM(K388:K391)</f>
        <v>0</v>
      </c>
    </row>
    <row r="393" spans="1:12" s="121" customFormat="1" ht="16.5" thickBot="1" x14ac:dyDescent="0.25">
      <c r="A393" s="72" t="str">
        <f>IF(F393&lt;&gt;"",1+MAX($A$1:A392),"")</f>
        <v/>
      </c>
      <c r="B393" s="200"/>
      <c r="C393" s="223"/>
      <c r="D393" s="201"/>
      <c r="E393" s="214"/>
      <c r="F393" s="13"/>
      <c r="G393" s="190"/>
      <c r="H393" s="3"/>
      <c r="I393" s="21"/>
      <c r="J393" s="135"/>
      <c r="K393" s="136"/>
      <c r="L393" s="137"/>
    </row>
    <row r="394" spans="1:12" s="121" customFormat="1" ht="16.5" thickBot="1" x14ac:dyDescent="0.25">
      <c r="A394" s="72" t="str">
        <f>IF(F394&lt;&gt;"",1+MAX($A$1:A393),"")</f>
        <v/>
      </c>
      <c r="B394" s="191"/>
      <c r="C394" s="222"/>
      <c r="D394" s="192"/>
      <c r="E394" s="192" t="s">
        <v>438</v>
      </c>
      <c r="F394" s="193"/>
      <c r="G394" s="194"/>
      <c r="H394" s="195"/>
      <c r="I394" s="196"/>
      <c r="J394" s="197"/>
      <c r="K394" s="198"/>
      <c r="L394" s="137"/>
    </row>
    <row r="395" spans="1:12" s="268" customFormat="1" ht="18.75" x14ac:dyDescent="0.2">
      <c r="A395" s="72">
        <f>IF(F395&lt;&gt;"",1+MAX($A$1:A394),"")</f>
        <v>242</v>
      </c>
      <c r="B395" s="2" t="s">
        <v>345</v>
      </c>
      <c r="C395" s="266"/>
      <c r="D395" s="267"/>
      <c r="E395" s="228" t="s">
        <v>433</v>
      </c>
      <c r="F395" s="264">
        <f>27.1</f>
        <v>27.1</v>
      </c>
      <c r="G395" s="74">
        <v>0.1</v>
      </c>
      <c r="H395" s="75">
        <f t="shared" ref="H395" si="112">F395*(1+G395)</f>
        <v>29.810000000000002</v>
      </c>
      <c r="I395" s="76" t="s">
        <v>13</v>
      </c>
      <c r="J395" s="144">
        <v>0</v>
      </c>
      <c r="K395" s="77">
        <f t="shared" ref="K395" si="113">J395*H395</f>
        <v>0</v>
      </c>
      <c r="L395" s="78"/>
    </row>
    <row r="396" spans="1:12" s="121" customFormat="1" ht="16.5" thickBot="1" x14ac:dyDescent="0.25">
      <c r="A396" s="72" t="str">
        <f>IF(F396&lt;&gt;"",1+MAX($A$1:A395),"")</f>
        <v/>
      </c>
      <c r="B396" s="200"/>
      <c r="C396" s="223"/>
      <c r="D396" s="2"/>
      <c r="E396" s="1"/>
      <c r="F396" s="202"/>
      <c r="G396" s="203"/>
      <c r="H396" s="202"/>
      <c r="I396" s="204"/>
      <c r="J396" s="205"/>
      <c r="K396" s="206"/>
      <c r="L396" s="207"/>
    </row>
    <row r="397" spans="1:12" s="121" customFormat="1" ht="16.5" thickBot="1" x14ac:dyDescent="0.25">
      <c r="A397" s="72" t="str">
        <f>IF(F397&lt;&gt;"",1+MAX($A$1:A396),"")</f>
        <v/>
      </c>
      <c r="B397" s="200"/>
      <c r="C397" s="223"/>
      <c r="D397" s="201"/>
      <c r="E397" s="35" t="s">
        <v>439</v>
      </c>
      <c r="F397" s="208"/>
      <c r="G397" s="209"/>
      <c r="H397" s="210"/>
      <c r="I397" s="211"/>
      <c r="J397" s="212"/>
      <c r="K397" s="42"/>
      <c r="L397" s="213">
        <f>SUM(K394:K396)</f>
        <v>0</v>
      </c>
    </row>
    <row r="398" spans="1:12" s="121" customFormat="1" ht="16.5" thickBot="1" x14ac:dyDescent="0.25">
      <c r="A398" s="72" t="str">
        <f>IF(F398&lt;&gt;"",1+MAX($A$1:A397),"")</f>
        <v/>
      </c>
      <c r="B398" s="200"/>
      <c r="C398" s="223"/>
      <c r="D398" s="201"/>
      <c r="E398" s="214"/>
      <c r="F398" s="13"/>
      <c r="G398" s="190"/>
      <c r="H398" s="3"/>
      <c r="I398" s="21"/>
      <c r="J398" s="135"/>
      <c r="K398" s="136"/>
      <c r="L398" s="137"/>
    </row>
    <row r="399" spans="1:12" s="121" customFormat="1" ht="16.5" thickBot="1" x14ac:dyDescent="0.25">
      <c r="A399" s="72" t="str">
        <f>IF(F399&lt;&gt;"",1+MAX($A$1:A398),"")</f>
        <v/>
      </c>
      <c r="B399" s="191"/>
      <c r="C399" s="222"/>
      <c r="D399" s="192"/>
      <c r="E399" s="192" t="s">
        <v>57</v>
      </c>
      <c r="F399" s="193"/>
      <c r="G399" s="194"/>
      <c r="H399" s="195"/>
      <c r="I399" s="196"/>
      <c r="J399" s="197"/>
      <c r="K399" s="198"/>
      <c r="L399" s="137"/>
    </row>
    <row r="400" spans="1:12" s="121" customFormat="1" x14ac:dyDescent="0.2">
      <c r="A400" s="72">
        <f>IF(F400&lt;&gt;"",1+MAX($A$1:A399),"")</f>
        <v>243</v>
      </c>
      <c r="B400" s="2" t="s">
        <v>88</v>
      </c>
      <c r="C400" s="200"/>
      <c r="D400" s="199"/>
      <c r="E400" s="143" t="s">
        <v>1029</v>
      </c>
      <c r="F400" s="25">
        <f>867*4</f>
        <v>3468</v>
      </c>
      <c r="G400" s="74">
        <v>0.1</v>
      </c>
      <c r="H400" s="3">
        <f>F400*(1+G400)</f>
        <v>3814.8</v>
      </c>
      <c r="I400" s="21" t="s">
        <v>13</v>
      </c>
      <c r="J400" s="144">
        <v>0</v>
      </c>
      <c r="K400" s="136">
        <f>J400*H400</f>
        <v>0</v>
      </c>
      <c r="L400" s="137"/>
    </row>
    <row r="401" spans="1:12" s="121" customFormat="1" x14ac:dyDescent="0.2">
      <c r="A401" s="72">
        <f>IF(F401&lt;&gt;"",1+MAX($A$1:A400),"")</f>
        <v>244</v>
      </c>
      <c r="B401" s="2" t="s">
        <v>88</v>
      </c>
      <c r="C401" s="200"/>
      <c r="D401" s="199"/>
      <c r="E401" s="143" t="s">
        <v>39</v>
      </c>
      <c r="F401" s="25">
        <v>1850</v>
      </c>
      <c r="G401" s="74">
        <v>0.1</v>
      </c>
      <c r="H401" s="3">
        <f>F401*(1+G401)</f>
        <v>2035.0000000000002</v>
      </c>
      <c r="I401" s="21" t="s">
        <v>13</v>
      </c>
      <c r="J401" s="135">
        <f>J$400</f>
        <v>0</v>
      </c>
      <c r="K401" s="136">
        <f>J401*H401</f>
        <v>0</v>
      </c>
      <c r="L401" s="137"/>
    </row>
    <row r="402" spans="1:12" s="121" customFormat="1" ht="16.5" thickBot="1" x14ac:dyDescent="0.25">
      <c r="A402" s="72" t="str">
        <f>IF(F402&lt;&gt;"",1+MAX($A$1:A401),"")</f>
        <v/>
      </c>
      <c r="B402" s="200"/>
      <c r="C402" s="223"/>
      <c r="D402" s="2"/>
      <c r="E402" s="1"/>
      <c r="F402" s="202"/>
      <c r="G402" s="203"/>
      <c r="H402" s="202"/>
      <c r="I402" s="204"/>
      <c r="J402" s="205"/>
      <c r="K402" s="206"/>
      <c r="L402" s="207"/>
    </row>
    <row r="403" spans="1:12" s="121" customFormat="1" ht="16.5" thickBot="1" x14ac:dyDescent="0.25">
      <c r="A403" s="72" t="str">
        <f>IF(F403&lt;&gt;"",1+MAX($A$1:A402),"")</f>
        <v/>
      </c>
      <c r="B403" s="200"/>
      <c r="C403" s="223"/>
      <c r="D403" s="201"/>
      <c r="E403" s="35" t="s">
        <v>58</v>
      </c>
      <c r="F403" s="208"/>
      <c r="G403" s="209"/>
      <c r="H403" s="210"/>
      <c r="I403" s="211"/>
      <c r="J403" s="212"/>
      <c r="K403" s="42"/>
      <c r="L403" s="213">
        <f>SUM(K399:K402)</f>
        <v>0</v>
      </c>
    </row>
    <row r="404" spans="1:12" s="121" customFormat="1" ht="16.5" thickBot="1" x14ac:dyDescent="0.25">
      <c r="A404" s="72" t="str">
        <f>IF(F404&lt;&gt;"",1+MAX($A$1:A403),"")</f>
        <v/>
      </c>
      <c r="B404" s="200"/>
      <c r="C404" s="223"/>
      <c r="D404" s="201"/>
      <c r="E404" s="214"/>
      <c r="F404" s="13"/>
      <c r="G404" s="190"/>
      <c r="H404" s="3"/>
      <c r="I404" s="21"/>
      <c r="J404" s="135"/>
      <c r="K404" s="136"/>
      <c r="L404" s="137"/>
    </row>
    <row r="405" spans="1:12" s="11" customFormat="1" ht="16.5" thickBot="1" x14ac:dyDescent="0.25">
      <c r="A405" s="72" t="str">
        <f>IF(F405&lt;&gt;"",1+MAX($A$1:A404),"")</f>
        <v/>
      </c>
      <c r="B405" s="38"/>
      <c r="C405" s="22"/>
      <c r="D405" s="22" t="s">
        <v>42</v>
      </c>
      <c r="E405" s="34" t="s">
        <v>43</v>
      </c>
      <c r="F405" s="24"/>
      <c r="G405" s="19"/>
      <c r="H405" s="19"/>
      <c r="I405" s="19"/>
      <c r="J405" s="44"/>
      <c r="K405" s="40"/>
      <c r="L405" s="137"/>
    </row>
    <row r="406" spans="1:12" s="121" customFormat="1" ht="16.5" thickBot="1" x14ac:dyDescent="0.25">
      <c r="A406" s="72" t="str">
        <f>IF(F406&lt;&gt;"",1+MAX($A$1:A405),"")</f>
        <v/>
      </c>
      <c r="B406" s="191"/>
      <c r="C406" s="222"/>
      <c r="D406" s="192"/>
      <c r="E406" s="192" t="s">
        <v>150</v>
      </c>
      <c r="F406" s="193"/>
      <c r="G406" s="194"/>
      <c r="H406" s="195"/>
      <c r="I406" s="196"/>
      <c r="J406" s="197"/>
      <c r="K406" s="198"/>
      <c r="L406" s="137"/>
    </row>
    <row r="407" spans="1:12" s="121" customFormat="1" ht="47.25" x14ac:dyDescent="0.2">
      <c r="A407" s="72">
        <f>IF(F407&lt;&gt;"",1+MAX($A$1:A406),"")</f>
        <v>245</v>
      </c>
      <c r="B407" s="2" t="s">
        <v>155</v>
      </c>
      <c r="C407" s="200" t="s">
        <v>156</v>
      </c>
      <c r="D407" s="199"/>
      <c r="E407" s="143" t="s">
        <v>153</v>
      </c>
      <c r="F407" s="25">
        <v>4050</v>
      </c>
      <c r="G407" s="74">
        <v>0.1</v>
      </c>
      <c r="H407" s="3">
        <f t="shared" ref="H407:H408" si="114">F407*(1+G407)</f>
        <v>4455</v>
      </c>
      <c r="I407" s="21" t="s">
        <v>16</v>
      </c>
      <c r="J407" s="215">
        <v>0</v>
      </c>
      <c r="K407" s="136">
        <f t="shared" ref="K407:K408" si="115">J407*H407</f>
        <v>0</v>
      </c>
      <c r="L407" s="137"/>
    </row>
    <row r="408" spans="1:12" s="121" customFormat="1" x14ac:dyDescent="0.2">
      <c r="A408" s="72">
        <f>IF(F408&lt;&gt;"",1+MAX($A$1:A407),"")</f>
        <v>246</v>
      </c>
      <c r="B408" s="2" t="s">
        <v>155</v>
      </c>
      <c r="C408" s="200" t="s">
        <v>156</v>
      </c>
      <c r="D408" s="199"/>
      <c r="E408" s="143" t="s">
        <v>154</v>
      </c>
      <c r="F408" s="25">
        <f>227.1*1.25</f>
        <v>283.875</v>
      </c>
      <c r="G408" s="74">
        <v>0.1</v>
      </c>
      <c r="H408" s="3">
        <f t="shared" si="114"/>
        <v>312.26250000000005</v>
      </c>
      <c r="I408" s="21" t="s">
        <v>16</v>
      </c>
      <c r="J408" s="144">
        <v>0</v>
      </c>
      <c r="K408" s="136">
        <f t="shared" si="115"/>
        <v>0</v>
      </c>
      <c r="L408" s="137"/>
    </row>
    <row r="409" spans="1:12" s="121" customFormat="1" ht="16.5" thickBot="1" x14ac:dyDescent="0.25">
      <c r="A409" s="72" t="str">
        <f>IF(F409&lt;&gt;"",1+MAX($A$1:A408),"")</f>
        <v/>
      </c>
      <c r="B409" s="200"/>
      <c r="C409" s="223"/>
      <c r="D409" s="2"/>
      <c r="E409" s="1"/>
      <c r="F409" s="202"/>
      <c r="G409" s="203"/>
      <c r="H409" s="202"/>
      <c r="I409" s="204"/>
      <c r="J409" s="205"/>
      <c r="K409" s="206"/>
      <c r="L409" s="207"/>
    </row>
    <row r="410" spans="1:12" s="121" customFormat="1" ht="16.5" thickBot="1" x14ac:dyDescent="0.25">
      <c r="A410" s="72" t="str">
        <f>IF(F410&lt;&gt;"",1+MAX($A$1:A409),"")</f>
        <v/>
      </c>
      <c r="B410" s="200"/>
      <c r="C410" s="223"/>
      <c r="D410" s="201"/>
      <c r="E410" s="35" t="s">
        <v>151</v>
      </c>
      <c r="F410" s="208"/>
      <c r="G410" s="209"/>
      <c r="H410" s="210"/>
      <c r="I410" s="211"/>
      <c r="J410" s="212"/>
      <c r="K410" s="42"/>
      <c r="L410" s="213">
        <f>SUM(K406:K409)</f>
        <v>0</v>
      </c>
    </row>
    <row r="411" spans="1:12" s="121" customFormat="1" ht="16.5" thickBot="1" x14ac:dyDescent="0.25">
      <c r="A411" s="72" t="str">
        <f>IF(F411&lt;&gt;"",1+MAX($A$1:A410),"")</f>
        <v/>
      </c>
      <c r="B411" s="200"/>
      <c r="C411" s="223"/>
      <c r="D411" s="201"/>
      <c r="E411" s="214"/>
      <c r="F411" s="13"/>
      <c r="G411" s="190"/>
      <c r="H411" s="3"/>
      <c r="I411" s="21"/>
      <c r="J411" s="135"/>
      <c r="K411" s="136"/>
      <c r="L411" s="137"/>
    </row>
    <row r="412" spans="1:12" s="121" customFormat="1" ht="16.5" thickBot="1" x14ac:dyDescent="0.25">
      <c r="A412" s="72" t="str">
        <f>IF(F412&lt;&gt;"",1+MAX($A$1:A411),"")</f>
        <v/>
      </c>
      <c r="B412" s="191"/>
      <c r="C412" s="222"/>
      <c r="D412" s="192"/>
      <c r="E412" s="192" t="s">
        <v>44</v>
      </c>
      <c r="F412" s="193"/>
      <c r="G412" s="194"/>
      <c r="H412" s="195"/>
      <c r="I412" s="196"/>
      <c r="J412" s="197"/>
      <c r="K412" s="198"/>
      <c r="L412" s="137"/>
    </row>
    <row r="413" spans="1:12" s="121" customFormat="1" x14ac:dyDescent="0.2">
      <c r="A413" s="72">
        <f>IF(F413&lt;&gt;"",1+MAX($A$1:A412),"")</f>
        <v>247</v>
      </c>
      <c r="B413" s="2" t="s">
        <v>155</v>
      </c>
      <c r="C413" s="200" t="s">
        <v>157</v>
      </c>
      <c r="D413" s="199"/>
      <c r="E413" s="143" t="s">
        <v>144</v>
      </c>
      <c r="F413" s="25">
        <f>114</f>
        <v>114</v>
      </c>
      <c r="G413" s="74">
        <v>0.1</v>
      </c>
      <c r="H413" s="3">
        <f t="shared" ref="H413:H420" si="116">F413*(1+G413)</f>
        <v>125.4</v>
      </c>
      <c r="I413" s="21" t="s">
        <v>13</v>
      </c>
      <c r="J413" s="144">
        <v>0</v>
      </c>
      <c r="K413" s="136">
        <f t="shared" ref="K413:K418" si="117">J413*H413</f>
        <v>0</v>
      </c>
      <c r="L413" s="137"/>
    </row>
    <row r="414" spans="1:12" s="121" customFormat="1" x14ac:dyDescent="0.2">
      <c r="A414" s="72">
        <f>IF(F414&lt;&gt;"",1+MAX($A$1:A413),"")</f>
        <v>248</v>
      </c>
      <c r="B414" s="2" t="s">
        <v>155</v>
      </c>
      <c r="C414" s="200" t="s">
        <v>158</v>
      </c>
      <c r="D414" s="199"/>
      <c r="E414" s="143" t="s">
        <v>145</v>
      </c>
      <c r="F414" s="25">
        <v>227.1</v>
      </c>
      <c r="G414" s="74">
        <v>0.1</v>
      </c>
      <c r="H414" s="3">
        <f t="shared" ref="H414:H418" si="118">F414*(1+G414)</f>
        <v>249.81</v>
      </c>
      <c r="I414" s="21" t="s">
        <v>13</v>
      </c>
      <c r="J414" s="144">
        <v>0</v>
      </c>
      <c r="K414" s="136">
        <f t="shared" si="117"/>
        <v>0</v>
      </c>
      <c r="L414" s="137"/>
    </row>
    <row r="415" spans="1:12" s="121" customFormat="1" x14ac:dyDescent="0.2">
      <c r="A415" s="72">
        <f>IF(F415&lt;&gt;"",1+MAX($A$1:A414),"")</f>
        <v>249</v>
      </c>
      <c r="B415" s="2" t="s">
        <v>155</v>
      </c>
      <c r="C415" s="200"/>
      <c r="D415" s="199"/>
      <c r="E415" s="143" t="s">
        <v>159</v>
      </c>
      <c r="F415" s="25">
        <v>73.8</v>
      </c>
      <c r="G415" s="74">
        <v>0.1</v>
      </c>
      <c r="H415" s="3">
        <f t="shared" ref="H415" si="119">F415*(1+G415)</f>
        <v>81.180000000000007</v>
      </c>
      <c r="I415" s="21" t="s">
        <v>13</v>
      </c>
      <c r="J415" s="144">
        <v>0</v>
      </c>
      <c r="K415" s="136">
        <f t="shared" ref="K415" si="120">J415*H415</f>
        <v>0</v>
      </c>
      <c r="L415" s="137"/>
    </row>
    <row r="416" spans="1:12" s="121" customFormat="1" x14ac:dyDescent="0.2">
      <c r="A416" s="72">
        <f>IF(F416&lt;&gt;"",1+MAX($A$1:A415),"")</f>
        <v>250</v>
      </c>
      <c r="B416" s="2" t="s">
        <v>155</v>
      </c>
      <c r="C416" s="200" t="s">
        <v>158</v>
      </c>
      <c r="D416" s="199"/>
      <c r="E416" s="143" t="s">
        <v>146</v>
      </c>
      <c r="F416" s="25">
        <v>227.1</v>
      </c>
      <c r="G416" s="74">
        <v>0.1</v>
      </c>
      <c r="H416" s="3">
        <f t="shared" si="118"/>
        <v>249.81</v>
      </c>
      <c r="I416" s="21" t="s">
        <v>13</v>
      </c>
      <c r="J416" s="144">
        <v>0</v>
      </c>
      <c r="K416" s="136">
        <f t="shared" si="117"/>
        <v>0</v>
      </c>
      <c r="L416" s="137"/>
    </row>
    <row r="417" spans="1:12" s="121" customFormat="1" x14ac:dyDescent="0.2">
      <c r="A417" s="72">
        <f>IF(F417&lt;&gt;"",1+MAX($A$1:A416),"")</f>
        <v>251</v>
      </c>
      <c r="B417" s="2" t="s">
        <v>155</v>
      </c>
      <c r="C417" s="200" t="s">
        <v>158</v>
      </c>
      <c r="D417" s="199"/>
      <c r="E417" s="143" t="s">
        <v>147</v>
      </c>
      <c r="F417" s="25">
        <v>227.1</v>
      </c>
      <c r="G417" s="74">
        <v>0.1</v>
      </c>
      <c r="H417" s="3">
        <f t="shared" si="118"/>
        <v>249.81</v>
      </c>
      <c r="I417" s="21" t="s">
        <v>13</v>
      </c>
      <c r="J417" s="144">
        <v>0</v>
      </c>
      <c r="K417" s="136">
        <f t="shared" si="117"/>
        <v>0</v>
      </c>
      <c r="L417" s="137"/>
    </row>
    <row r="418" spans="1:12" s="121" customFormat="1" x14ac:dyDescent="0.2">
      <c r="A418" s="72">
        <f>IF(F418&lt;&gt;"",1+MAX($A$1:A417),"")</f>
        <v>252</v>
      </c>
      <c r="B418" s="2" t="s">
        <v>155</v>
      </c>
      <c r="C418" s="200" t="s">
        <v>157</v>
      </c>
      <c r="D418" s="199"/>
      <c r="E418" s="143" t="s">
        <v>148</v>
      </c>
      <c r="F418" s="25">
        <v>2</v>
      </c>
      <c r="G418" s="74">
        <v>0</v>
      </c>
      <c r="H418" s="3">
        <f t="shared" si="118"/>
        <v>2</v>
      </c>
      <c r="I418" s="21" t="s">
        <v>677</v>
      </c>
      <c r="J418" s="144">
        <v>0</v>
      </c>
      <c r="K418" s="136">
        <f t="shared" si="117"/>
        <v>0</v>
      </c>
      <c r="L418" s="137"/>
    </row>
    <row r="419" spans="1:12" s="121" customFormat="1" x14ac:dyDescent="0.2">
      <c r="A419" s="72">
        <f>IF(F419&lt;&gt;"",1+MAX($A$1:A418),"")</f>
        <v>253</v>
      </c>
      <c r="B419" s="2" t="s">
        <v>155</v>
      </c>
      <c r="C419" s="200" t="s">
        <v>157</v>
      </c>
      <c r="D419" s="199"/>
      <c r="E419" s="143" t="s">
        <v>149</v>
      </c>
      <c r="F419" s="25">
        <v>3</v>
      </c>
      <c r="G419" s="74">
        <v>0</v>
      </c>
      <c r="H419" s="3">
        <f t="shared" si="116"/>
        <v>3</v>
      </c>
      <c r="I419" s="21" t="s">
        <v>677</v>
      </c>
      <c r="J419" s="144">
        <v>0</v>
      </c>
      <c r="K419" s="136">
        <f t="shared" ref="K419:K420" si="121">J419*H419</f>
        <v>0</v>
      </c>
      <c r="L419" s="137"/>
    </row>
    <row r="420" spans="1:12" s="121" customFormat="1" x14ac:dyDescent="0.2">
      <c r="A420" s="72">
        <f>IF(F420&lt;&gt;"",1+MAX($A$1:A419),"")</f>
        <v>254</v>
      </c>
      <c r="B420" s="2" t="s">
        <v>155</v>
      </c>
      <c r="C420" s="200" t="s">
        <v>158</v>
      </c>
      <c r="D420" s="199"/>
      <c r="E420" s="143" t="s">
        <v>668</v>
      </c>
      <c r="F420" s="25">
        <f>18.7</f>
        <v>18.7</v>
      </c>
      <c r="G420" s="74">
        <v>0.1</v>
      </c>
      <c r="H420" s="3">
        <f t="shared" si="116"/>
        <v>20.57</v>
      </c>
      <c r="I420" s="21" t="s">
        <v>13</v>
      </c>
      <c r="J420" s="144">
        <v>0</v>
      </c>
      <c r="K420" s="136">
        <f t="shared" si="121"/>
        <v>0</v>
      </c>
      <c r="L420" s="137"/>
    </row>
    <row r="421" spans="1:12" s="121" customFormat="1" x14ac:dyDescent="0.2">
      <c r="A421" s="72">
        <f>IF(F421&lt;&gt;"",1+MAX($A$1:A420),"")</f>
        <v>255</v>
      </c>
      <c r="B421" s="2" t="s">
        <v>155</v>
      </c>
      <c r="C421" s="200"/>
      <c r="D421" s="199"/>
      <c r="E421" s="143" t="s">
        <v>675</v>
      </c>
      <c r="F421" s="25">
        <v>23.3</v>
      </c>
      <c r="G421" s="74">
        <v>0.1</v>
      </c>
      <c r="H421" s="3">
        <f t="shared" ref="H421" si="122">F421*(1+G421)</f>
        <v>25.630000000000003</v>
      </c>
      <c r="I421" s="21" t="s">
        <v>13</v>
      </c>
      <c r="J421" s="144">
        <v>0</v>
      </c>
      <c r="K421" s="136">
        <f t="shared" ref="K421" si="123">J421*H421</f>
        <v>0</v>
      </c>
      <c r="L421" s="137"/>
    </row>
    <row r="422" spans="1:12" s="121" customFormat="1" x14ac:dyDescent="0.2">
      <c r="A422" s="72">
        <f>IF(F422&lt;&gt;"",1+MAX($A$1:A421),"")</f>
        <v>256</v>
      </c>
      <c r="B422" s="2" t="s">
        <v>155</v>
      </c>
      <c r="C422" s="200"/>
      <c r="D422" s="199"/>
      <c r="E422" s="143" t="s">
        <v>676</v>
      </c>
      <c r="F422" s="25">
        <v>8</v>
      </c>
      <c r="G422" s="74">
        <v>0</v>
      </c>
      <c r="H422" s="3">
        <f t="shared" ref="H422" si="124">F422*(1+G422)</f>
        <v>8</v>
      </c>
      <c r="I422" s="21" t="s">
        <v>677</v>
      </c>
      <c r="J422" s="144">
        <v>0</v>
      </c>
      <c r="K422" s="136">
        <f t="shared" ref="K422" si="125">J422*H422</f>
        <v>0</v>
      </c>
      <c r="L422" s="137"/>
    </row>
    <row r="423" spans="1:12" s="121" customFormat="1" ht="16.5" thickBot="1" x14ac:dyDescent="0.25">
      <c r="A423" s="72" t="str">
        <f>IF(F423&lt;&gt;"",1+MAX($A$1:A422),"")</f>
        <v/>
      </c>
      <c r="B423" s="200"/>
      <c r="C423" s="223"/>
      <c r="D423" s="2"/>
      <c r="E423" s="1"/>
      <c r="F423" s="202"/>
      <c r="G423" s="203"/>
      <c r="H423" s="202"/>
      <c r="I423" s="204"/>
      <c r="J423" s="205"/>
      <c r="K423" s="206"/>
      <c r="L423" s="207"/>
    </row>
    <row r="424" spans="1:12" s="121" customFormat="1" ht="16.5" thickBot="1" x14ac:dyDescent="0.25">
      <c r="A424" s="72" t="str">
        <f>IF(F424&lt;&gt;"",1+MAX($A$1:A423),"")</f>
        <v/>
      </c>
      <c r="B424" s="200"/>
      <c r="C424" s="223"/>
      <c r="D424" s="201"/>
      <c r="E424" s="35" t="s">
        <v>67</v>
      </c>
      <c r="F424" s="208"/>
      <c r="G424" s="209"/>
      <c r="H424" s="210"/>
      <c r="I424" s="211"/>
      <c r="J424" s="212"/>
      <c r="K424" s="42"/>
      <c r="L424" s="213">
        <f>SUM(K412:K423)</f>
        <v>0</v>
      </c>
    </row>
    <row r="425" spans="1:12" s="121" customFormat="1" ht="16.5" thickBot="1" x14ac:dyDescent="0.25">
      <c r="A425" s="72" t="str">
        <f>IF(F425&lt;&gt;"",1+MAX($A$1:A424),"")</f>
        <v/>
      </c>
      <c r="B425" s="200"/>
      <c r="C425" s="223"/>
      <c r="D425" s="201"/>
      <c r="E425" s="214"/>
      <c r="F425" s="13"/>
      <c r="G425" s="190"/>
      <c r="H425" s="3"/>
      <c r="I425" s="21"/>
      <c r="J425" s="135"/>
      <c r="K425" s="136"/>
      <c r="L425" s="137"/>
    </row>
    <row r="426" spans="1:12" s="11" customFormat="1" ht="16.5" thickBot="1" x14ac:dyDescent="0.25">
      <c r="A426" s="72" t="str">
        <f>IF(F426&lt;&gt;"",1+MAX($A$1:A425),"")</f>
        <v/>
      </c>
      <c r="B426" s="38"/>
      <c r="C426" s="22"/>
      <c r="D426" s="22" t="s">
        <v>356</v>
      </c>
      <c r="E426" s="34" t="s">
        <v>357</v>
      </c>
      <c r="F426" s="24"/>
      <c r="G426" s="19"/>
      <c r="H426" s="19"/>
      <c r="I426" s="19"/>
      <c r="J426" s="44"/>
      <c r="K426" s="40"/>
      <c r="L426" s="17"/>
    </row>
    <row r="427" spans="1:12" s="1" customFormat="1" ht="16.5" thickBot="1" x14ac:dyDescent="0.25">
      <c r="A427" s="72" t="str">
        <f>IF(F427&lt;&gt;"",1+MAX($A$1:A426),"")</f>
        <v/>
      </c>
      <c r="B427" s="26"/>
      <c r="C427" s="265"/>
      <c r="D427" s="150"/>
      <c r="E427" s="151" t="s">
        <v>358</v>
      </c>
      <c r="F427" s="152"/>
      <c r="G427" s="235"/>
      <c r="H427" s="236"/>
      <c r="I427" s="237"/>
      <c r="J427" s="238"/>
      <c r="K427" s="239"/>
      <c r="L427" s="17"/>
    </row>
    <row r="428" spans="1:12" s="121" customFormat="1" x14ac:dyDescent="0.2">
      <c r="A428" s="72" t="str">
        <f>IF(F428&lt;&gt;"",1+MAX($A$1:A427),"")</f>
        <v/>
      </c>
      <c r="B428" s="138"/>
      <c r="C428" s="26"/>
      <c r="D428" s="133"/>
      <c r="E428" s="139" t="s">
        <v>359</v>
      </c>
      <c r="F428" s="134"/>
      <c r="G428" s="20"/>
      <c r="H428" s="140"/>
      <c r="I428" s="4"/>
      <c r="J428" s="271"/>
      <c r="K428" s="142"/>
      <c r="L428" s="137"/>
    </row>
    <row r="429" spans="1:12" s="268" customFormat="1" ht="63" x14ac:dyDescent="0.2">
      <c r="A429" s="72">
        <f>IF(F429&lt;&gt;"",1+MAX($A$1:A428),"")</f>
        <v>257</v>
      </c>
      <c r="B429" s="73" t="s">
        <v>88</v>
      </c>
      <c r="C429" s="266" t="s">
        <v>360</v>
      </c>
      <c r="D429" s="270"/>
      <c r="E429" s="228" t="s">
        <v>361</v>
      </c>
      <c r="F429" s="81">
        <v>2</v>
      </c>
      <c r="G429" s="272">
        <v>0</v>
      </c>
      <c r="H429" s="273">
        <f t="shared" ref="H429:H441" si="126">F429*(1+G429)</f>
        <v>2</v>
      </c>
      <c r="I429" s="274" t="s">
        <v>18</v>
      </c>
      <c r="J429" s="215">
        <v>0</v>
      </c>
      <c r="K429" s="77">
        <f t="shared" ref="K429:K443" si="127">J429*H429</f>
        <v>0</v>
      </c>
      <c r="L429" s="78"/>
    </row>
    <row r="430" spans="1:12" s="268" customFormat="1" ht="63" x14ac:dyDescent="0.2">
      <c r="A430" s="72">
        <f>IF(F430&lt;&gt;"",1+MAX($A$1:A429),"")</f>
        <v>258</v>
      </c>
      <c r="B430" s="73" t="s">
        <v>88</v>
      </c>
      <c r="C430" s="266" t="s">
        <v>360</v>
      </c>
      <c r="D430" s="270"/>
      <c r="E430" s="228" t="s">
        <v>362</v>
      </c>
      <c r="F430" s="81">
        <v>1</v>
      </c>
      <c r="G430" s="272">
        <v>0</v>
      </c>
      <c r="H430" s="273">
        <f t="shared" si="126"/>
        <v>1</v>
      </c>
      <c r="I430" s="274" t="s">
        <v>18</v>
      </c>
      <c r="J430" s="215">
        <v>0</v>
      </c>
      <c r="K430" s="77">
        <f t="shared" si="127"/>
        <v>0</v>
      </c>
      <c r="L430" s="78"/>
    </row>
    <row r="431" spans="1:12" s="268" customFormat="1" ht="63" x14ac:dyDescent="0.2">
      <c r="A431" s="72">
        <f>IF(F431&lt;&gt;"",1+MAX($A$1:A430),"")</f>
        <v>259</v>
      </c>
      <c r="B431" s="73" t="s">
        <v>88</v>
      </c>
      <c r="C431" s="266" t="s">
        <v>360</v>
      </c>
      <c r="D431" s="270"/>
      <c r="E431" s="228" t="s">
        <v>363</v>
      </c>
      <c r="F431" s="81">
        <v>2</v>
      </c>
      <c r="G431" s="74">
        <v>0</v>
      </c>
      <c r="H431" s="75">
        <f t="shared" si="126"/>
        <v>2</v>
      </c>
      <c r="I431" s="76" t="s">
        <v>18</v>
      </c>
      <c r="J431" s="215">
        <v>0</v>
      </c>
      <c r="K431" s="77">
        <f t="shared" si="127"/>
        <v>0</v>
      </c>
      <c r="L431" s="78"/>
    </row>
    <row r="432" spans="1:12" s="268" customFormat="1" ht="63" x14ac:dyDescent="0.2">
      <c r="A432" s="72">
        <f>IF(F432&lt;&gt;"",1+MAX($A$1:A431),"")</f>
        <v>260</v>
      </c>
      <c r="B432" s="73" t="s">
        <v>88</v>
      </c>
      <c r="C432" s="266" t="s">
        <v>360</v>
      </c>
      <c r="D432" s="270"/>
      <c r="E432" s="228" t="s">
        <v>364</v>
      </c>
      <c r="F432" s="81">
        <v>1</v>
      </c>
      <c r="G432" s="74">
        <v>0</v>
      </c>
      <c r="H432" s="75">
        <f t="shared" si="126"/>
        <v>1</v>
      </c>
      <c r="I432" s="76" t="s">
        <v>18</v>
      </c>
      <c r="J432" s="215">
        <v>0</v>
      </c>
      <c r="K432" s="77">
        <f t="shared" si="127"/>
        <v>0</v>
      </c>
      <c r="L432" s="78"/>
    </row>
    <row r="433" spans="1:12" s="268" customFormat="1" ht="63" x14ac:dyDescent="0.2">
      <c r="A433" s="72">
        <f>IF(F433&lt;&gt;"",1+MAX($A$1:A432),"")</f>
        <v>261</v>
      </c>
      <c r="B433" s="73" t="s">
        <v>88</v>
      </c>
      <c r="C433" s="266" t="s">
        <v>360</v>
      </c>
      <c r="D433" s="270"/>
      <c r="E433" s="228" t="s">
        <v>365</v>
      </c>
      <c r="F433" s="81">
        <v>1</v>
      </c>
      <c r="G433" s="74">
        <v>0</v>
      </c>
      <c r="H433" s="75">
        <f t="shared" si="126"/>
        <v>1</v>
      </c>
      <c r="I433" s="76" t="s">
        <v>18</v>
      </c>
      <c r="J433" s="215">
        <v>0</v>
      </c>
      <c r="K433" s="77">
        <f t="shared" si="127"/>
        <v>0</v>
      </c>
      <c r="L433" s="78"/>
    </row>
    <row r="434" spans="1:12" s="268" customFormat="1" ht="63" x14ac:dyDescent="0.2">
      <c r="A434" s="72">
        <f>IF(F434&lt;&gt;"",1+MAX($A$1:A433),"")</f>
        <v>262</v>
      </c>
      <c r="B434" s="73" t="s">
        <v>88</v>
      </c>
      <c r="C434" s="266" t="s">
        <v>360</v>
      </c>
      <c r="D434" s="270"/>
      <c r="E434" s="228" t="s">
        <v>366</v>
      </c>
      <c r="F434" s="81">
        <v>10</v>
      </c>
      <c r="G434" s="74">
        <v>0</v>
      </c>
      <c r="H434" s="75">
        <f t="shared" si="126"/>
        <v>10</v>
      </c>
      <c r="I434" s="76" t="s">
        <v>18</v>
      </c>
      <c r="J434" s="215">
        <v>0</v>
      </c>
      <c r="K434" s="77">
        <f t="shared" si="127"/>
        <v>0</v>
      </c>
      <c r="L434" s="78"/>
    </row>
    <row r="435" spans="1:12" s="268" customFormat="1" ht="63" x14ac:dyDescent="0.2">
      <c r="A435" s="72">
        <f>IF(F435&lt;&gt;"",1+MAX($A$1:A434),"")</f>
        <v>263</v>
      </c>
      <c r="B435" s="73" t="s">
        <v>88</v>
      </c>
      <c r="C435" s="266" t="s">
        <v>360</v>
      </c>
      <c r="D435" s="270"/>
      <c r="E435" s="228" t="s">
        <v>367</v>
      </c>
      <c r="F435" s="81">
        <v>24</v>
      </c>
      <c r="G435" s="74">
        <v>0</v>
      </c>
      <c r="H435" s="75">
        <f t="shared" si="126"/>
        <v>24</v>
      </c>
      <c r="I435" s="76" t="s">
        <v>18</v>
      </c>
      <c r="J435" s="215">
        <v>0</v>
      </c>
      <c r="K435" s="77">
        <f t="shared" si="127"/>
        <v>0</v>
      </c>
      <c r="L435" s="78"/>
    </row>
    <row r="436" spans="1:12" s="268" customFormat="1" ht="63" x14ac:dyDescent="0.2">
      <c r="A436" s="72">
        <f>IF(F436&lt;&gt;"",1+MAX($A$1:A435),"")</f>
        <v>264</v>
      </c>
      <c r="B436" s="73" t="s">
        <v>88</v>
      </c>
      <c r="C436" s="266" t="s">
        <v>360</v>
      </c>
      <c r="D436" s="270"/>
      <c r="E436" s="228" t="s">
        <v>368</v>
      </c>
      <c r="F436" s="81">
        <v>12</v>
      </c>
      <c r="G436" s="74">
        <v>0</v>
      </c>
      <c r="H436" s="75">
        <f t="shared" si="126"/>
        <v>12</v>
      </c>
      <c r="I436" s="76" t="s">
        <v>18</v>
      </c>
      <c r="J436" s="215">
        <v>0</v>
      </c>
      <c r="K436" s="77">
        <f t="shared" si="127"/>
        <v>0</v>
      </c>
      <c r="L436" s="78"/>
    </row>
    <row r="437" spans="1:12" s="268" customFormat="1" ht="63" x14ac:dyDescent="0.2">
      <c r="A437" s="72">
        <f>IF(F437&lt;&gt;"",1+MAX($A$1:A436),"")</f>
        <v>265</v>
      </c>
      <c r="B437" s="73" t="s">
        <v>88</v>
      </c>
      <c r="C437" s="266" t="s">
        <v>360</v>
      </c>
      <c r="D437" s="270"/>
      <c r="E437" s="228" t="s">
        <v>369</v>
      </c>
      <c r="F437" s="81">
        <v>8</v>
      </c>
      <c r="G437" s="74">
        <v>0</v>
      </c>
      <c r="H437" s="75">
        <f t="shared" si="126"/>
        <v>8</v>
      </c>
      <c r="I437" s="76" t="s">
        <v>18</v>
      </c>
      <c r="J437" s="215">
        <v>0</v>
      </c>
      <c r="K437" s="77">
        <f t="shared" si="127"/>
        <v>0</v>
      </c>
      <c r="L437" s="78"/>
    </row>
    <row r="438" spans="1:12" s="268" customFormat="1" ht="63" x14ac:dyDescent="0.2">
      <c r="A438" s="72">
        <f>IF(F438&lt;&gt;"",1+MAX($A$1:A437),"")</f>
        <v>266</v>
      </c>
      <c r="B438" s="73" t="s">
        <v>88</v>
      </c>
      <c r="C438" s="266" t="s">
        <v>360</v>
      </c>
      <c r="D438" s="270"/>
      <c r="E438" s="228" t="s">
        <v>370</v>
      </c>
      <c r="F438" s="81">
        <v>6</v>
      </c>
      <c r="G438" s="74">
        <v>0</v>
      </c>
      <c r="H438" s="75">
        <f t="shared" si="126"/>
        <v>6</v>
      </c>
      <c r="I438" s="76" t="s">
        <v>18</v>
      </c>
      <c r="J438" s="215">
        <v>0</v>
      </c>
      <c r="K438" s="77">
        <f t="shared" si="127"/>
        <v>0</v>
      </c>
      <c r="L438" s="78"/>
    </row>
    <row r="439" spans="1:12" s="268" customFormat="1" ht="63" x14ac:dyDescent="0.2">
      <c r="A439" s="72">
        <f>IF(F439&lt;&gt;"",1+MAX($A$1:A438),"")</f>
        <v>267</v>
      </c>
      <c r="B439" s="73" t="s">
        <v>88</v>
      </c>
      <c r="C439" s="266" t="s">
        <v>360</v>
      </c>
      <c r="D439" s="270"/>
      <c r="E439" s="228" t="s">
        <v>371</v>
      </c>
      <c r="F439" s="81">
        <v>2</v>
      </c>
      <c r="G439" s="74">
        <v>0</v>
      </c>
      <c r="H439" s="75">
        <f t="shared" si="126"/>
        <v>2</v>
      </c>
      <c r="I439" s="76" t="s">
        <v>18</v>
      </c>
      <c r="J439" s="215">
        <v>0</v>
      </c>
      <c r="K439" s="77">
        <f t="shared" si="127"/>
        <v>0</v>
      </c>
      <c r="L439" s="78"/>
    </row>
    <row r="440" spans="1:12" s="268" customFormat="1" ht="63" x14ac:dyDescent="0.2">
      <c r="A440" s="72">
        <f>IF(F440&lt;&gt;"",1+MAX($A$1:A439),"")</f>
        <v>268</v>
      </c>
      <c r="B440" s="73" t="s">
        <v>88</v>
      </c>
      <c r="C440" s="266" t="s">
        <v>360</v>
      </c>
      <c r="D440" s="270"/>
      <c r="E440" s="228" t="s">
        <v>372</v>
      </c>
      <c r="F440" s="81">
        <v>1</v>
      </c>
      <c r="G440" s="74">
        <v>0</v>
      </c>
      <c r="H440" s="75">
        <f t="shared" si="126"/>
        <v>1</v>
      </c>
      <c r="I440" s="76" t="s">
        <v>18</v>
      </c>
      <c r="J440" s="215">
        <v>0</v>
      </c>
      <c r="K440" s="77">
        <f t="shared" si="127"/>
        <v>0</v>
      </c>
      <c r="L440" s="78"/>
    </row>
    <row r="441" spans="1:12" s="268" customFormat="1" ht="63" x14ac:dyDescent="0.2">
      <c r="A441" s="72">
        <f>IF(F441&lt;&gt;"",1+MAX($A$1:A440),"")</f>
        <v>269</v>
      </c>
      <c r="B441" s="73" t="s">
        <v>88</v>
      </c>
      <c r="C441" s="266" t="s">
        <v>360</v>
      </c>
      <c r="D441" s="270"/>
      <c r="E441" s="228" t="s">
        <v>373</v>
      </c>
      <c r="F441" s="81">
        <v>1</v>
      </c>
      <c r="G441" s="74">
        <v>0</v>
      </c>
      <c r="H441" s="75">
        <f t="shared" si="126"/>
        <v>1</v>
      </c>
      <c r="I441" s="76" t="s">
        <v>18</v>
      </c>
      <c r="J441" s="215">
        <v>0</v>
      </c>
      <c r="K441" s="77">
        <f t="shared" si="127"/>
        <v>0</v>
      </c>
      <c r="L441" s="78"/>
    </row>
    <row r="442" spans="1:12" s="121" customFormat="1" x14ac:dyDescent="0.2">
      <c r="A442" s="72" t="str">
        <f>IF(F442&lt;&gt;"",1+MAX($A$1:A441),"")</f>
        <v/>
      </c>
      <c r="B442" s="138"/>
      <c r="C442" s="26"/>
      <c r="D442" s="133"/>
      <c r="E442" s="139" t="s">
        <v>374</v>
      </c>
      <c r="F442" s="134"/>
      <c r="G442" s="20"/>
      <c r="H442" s="140"/>
      <c r="I442" s="4"/>
      <c r="J442" s="271"/>
      <c r="K442" s="142"/>
      <c r="L442" s="137"/>
    </row>
    <row r="443" spans="1:12" s="268" customFormat="1" ht="31.5" x14ac:dyDescent="0.2">
      <c r="A443" s="72">
        <f>IF(F443&lt;&gt;"",1+MAX($A$1:A442),"")</f>
        <v>270</v>
      </c>
      <c r="B443" s="73" t="s">
        <v>375</v>
      </c>
      <c r="C443" s="266" t="s">
        <v>376</v>
      </c>
      <c r="D443" s="270"/>
      <c r="E443" s="228" t="s">
        <v>652</v>
      </c>
      <c r="F443" s="264">
        <f>6*8*4</f>
        <v>192</v>
      </c>
      <c r="G443" s="74">
        <v>0.1</v>
      </c>
      <c r="H443" s="75">
        <f t="shared" ref="H443" si="128">F443*(1+G443)</f>
        <v>211.20000000000002</v>
      </c>
      <c r="I443" s="76" t="s">
        <v>16</v>
      </c>
      <c r="J443" s="144">
        <v>0</v>
      </c>
      <c r="K443" s="77">
        <f t="shared" si="127"/>
        <v>0</v>
      </c>
      <c r="L443" s="78"/>
    </row>
    <row r="444" spans="1:12" s="121" customFormat="1" x14ac:dyDescent="0.2">
      <c r="A444" s="72" t="str">
        <f>IF(F444&lt;&gt;"",1+MAX($A$1:A443),"")</f>
        <v/>
      </c>
      <c r="B444" s="138"/>
      <c r="C444" s="26"/>
      <c r="D444" s="133"/>
      <c r="E444" s="139" t="s">
        <v>653</v>
      </c>
      <c r="F444" s="134"/>
      <c r="G444" s="20"/>
      <c r="H444" s="140"/>
      <c r="I444" s="4"/>
      <c r="J444" s="271"/>
      <c r="K444" s="142"/>
      <c r="L444" s="137"/>
    </row>
    <row r="445" spans="1:12" s="268" customFormat="1" ht="63" x14ac:dyDescent="0.2">
      <c r="A445" s="72">
        <f>IF(F445&lt;&gt;"",1+MAX($A$1:A444),"")</f>
        <v>271</v>
      </c>
      <c r="B445" s="73" t="s">
        <v>88</v>
      </c>
      <c r="C445" s="266" t="s">
        <v>360</v>
      </c>
      <c r="D445" s="270"/>
      <c r="E445" s="228" t="s">
        <v>377</v>
      </c>
      <c r="F445" s="264">
        <v>1</v>
      </c>
      <c r="G445" s="74">
        <v>0</v>
      </c>
      <c r="H445" s="75">
        <f>F445*(1+G445)</f>
        <v>1</v>
      </c>
      <c r="I445" s="76" t="s">
        <v>18</v>
      </c>
      <c r="J445" s="462">
        <v>0</v>
      </c>
      <c r="K445" s="77">
        <f>J445*H445</f>
        <v>0</v>
      </c>
      <c r="L445" s="78"/>
    </row>
    <row r="446" spans="1:12" s="268" customFormat="1" ht="19.5" thickBot="1" x14ac:dyDescent="0.25">
      <c r="A446" s="72" t="str">
        <f>IF(F446&lt;&gt;"",1+MAX($A$1:A445),"")</f>
        <v/>
      </c>
      <c r="B446" s="73"/>
      <c r="C446" s="266"/>
      <c r="D446" s="270"/>
      <c r="E446" s="228"/>
      <c r="F446" s="264"/>
      <c r="G446" s="74"/>
      <c r="H446" s="74"/>
      <c r="I446" s="74"/>
      <c r="J446" s="74"/>
      <c r="K446" s="77"/>
      <c r="L446" s="78"/>
    </row>
    <row r="447" spans="1:12" s="1" customFormat="1" ht="16.5" thickBot="1" x14ac:dyDescent="0.25">
      <c r="A447" s="72" t="str">
        <f>IF(F447&lt;&gt;"",1+MAX($A$1:A446),"")</f>
        <v/>
      </c>
      <c r="B447" s="26"/>
      <c r="C447" s="265"/>
      <c r="D447" s="150"/>
      <c r="E447" s="151" t="s">
        <v>378</v>
      </c>
      <c r="F447" s="152"/>
      <c r="G447" s="153"/>
      <c r="H447" s="154"/>
      <c r="I447" s="155"/>
      <c r="J447" s="240"/>
      <c r="K447" s="156"/>
      <c r="L447" s="17"/>
    </row>
    <row r="448" spans="1:12" s="268" customFormat="1" ht="47.25" x14ac:dyDescent="0.2">
      <c r="A448" s="72">
        <f>IF(F448&lt;&gt;"",1+MAX($A$1:A447),"")</f>
        <v>272</v>
      </c>
      <c r="B448" s="73" t="s">
        <v>88</v>
      </c>
      <c r="C448" s="266" t="s">
        <v>379</v>
      </c>
      <c r="D448" s="270"/>
      <c r="E448" s="228" t="s">
        <v>380</v>
      </c>
      <c r="F448" s="264">
        <f>10*6*6</f>
        <v>360</v>
      </c>
      <c r="G448" s="74">
        <v>0.1</v>
      </c>
      <c r="H448" s="75">
        <f t="shared" ref="H448:H452" si="129">F448*(1+G448)</f>
        <v>396.00000000000006</v>
      </c>
      <c r="I448" s="76" t="s">
        <v>16</v>
      </c>
      <c r="J448" s="240">
        <f t="shared" ref="J448:J452" si="130">J$443</f>
        <v>0</v>
      </c>
      <c r="K448" s="77">
        <f t="shared" ref="K448:K452" si="131">J448*H448</f>
        <v>0</v>
      </c>
      <c r="L448" s="78"/>
    </row>
    <row r="449" spans="1:12" s="268" customFormat="1" ht="47.25" x14ac:dyDescent="0.2">
      <c r="A449" s="72">
        <f>IF(F449&lt;&gt;"",1+MAX($A$1:A448),"")</f>
        <v>273</v>
      </c>
      <c r="B449" s="73" t="s">
        <v>88</v>
      </c>
      <c r="C449" s="266" t="s">
        <v>379</v>
      </c>
      <c r="D449" s="270"/>
      <c r="E449" s="228" t="s">
        <v>381</v>
      </c>
      <c r="F449" s="264">
        <f>10*3*6</f>
        <v>180</v>
      </c>
      <c r="G449" s="74">
        <v>0.1</v>
      </c>
      <c r="H449" s="75">
        <f t="shared" si="129"/>
        <v>198.00000000000003</v>
      </c>
      <c r="I449" s="76" t="s">
        <v>16</v>
      </c>
      <c r="J449" s="240">
        <f t="shared" si="130"/>
        <v>0</v>
      </c>
      <c r="K449" s="77">
        <f t="shared" si="131"/>
        <v>0</v>
      </c>
      <c r="L449" s="78"/>
    </row>
    <row r="450" spans="1:12" s="268" customFormat="1" ht="47.25" x14ac:dyDescent="0.2">
      <c r="A450" s="72">
        <f>IF(F450&lt;&gt;"",1+MAX($A$1:A449),"")</f>
        <v>274</v>
      </c>
      <c r="B450" s="73" t="s">
        <v>88</v>
      </c>
      <c r="C450" s="266" t="s">
        <v>379</v>
      </c>
      <c r="D450" s="228" t="s">
        <v>382</v>
      </c>
      <c r="E450" s="228" t="s">
        <v>383</v>
      </c>
      <c r="F450" s="264">
        <f>6*6</f>
        <v>36</v>
      </c>
      <c r="G450" s="74">
        <v>0.1</v>
      </c>
      <c r="H450" s="75">
        <f t="shared" si="129"/>
        <v>39.6</v>
      </c>
      <c r="I450" s="76" t="s">
        <v>16</v>
      </c>
      <c r="J450" s="240">
        <f t="shared" si="130"/>
        <v>0</v>
      </c>
      <c r="K450" s="77">
        <f t="shared" si="131"/>
        <v>0</v>
      </c>
      <c r="L450" s="78"/>
    </row>
    <row r="451" spans="1:12" s="268" customFormat="1" ht="47.25" x14ac:dyDescent="0.2">
      <c r="A451" s="72">
        <f>IF(F451&lt;&gt;"",1+MAX($A$1:A450),"")</f>
        <v>275</v>
      </c>
      <c r="B451" s="73" t="s">
        <v>88</v>
      </c>
      <c r="C451" s="266" t="s">
        <v>379</v>
      </c>
      <c r="D451" s="270"/>
      <c r="E451" s="228" t="s">
        <v>384</v>
      </c>
      <c r="F451" s="264">
        <f>4*9*6</f>
        <v>216</v>
      </c>
      <c r="G451" s="74">
        <v>0.1</v>
      </c>
      <c r="H451" s="75">
        <f t="shared" si="129"/>
        <v>237.60000000000002</v>
      </c>
      <c r="I451" s="76" t="s">
        <v>16</v>
      </c>
      <c r="J451" s="240">
        <f t="shared" si="130"/>
        <v>0</v>
      </c>
      <c r="K451" s="77">
        <f t="shared" si="131"/>
        <v>0</v>
      </c>
      <c r="L451" s="78"/>
    </row>
    <row r="452" spans="1:12" s="268" customFormat="1" ht="47.25" x14ac:dyDescent="0.2">
      <c r="A452" s="72">
        <f>IF(F452&lt;&gt;"",1+MAX($A$1:A451),"")</f>
        <v>276</v>
      </c>
      <c r="B452" s="73" t="s">
        <v>88</v>
      </c>
      <c r="C452" s="266" t="s">
        <v>379</v>
      </c>
      <c r="D452" s="270"/>
      <c r="E452" s="228" t="s">
        <v>385</v>
      </c>
      <c r="F452" s="264">
        <f>2*3*2</f>
        <v>12</v>
      </c>
      <c r="G452" s="74">
        <v>0.1</v>
      </c>
      <c r="H452" s="75">
        <f t="shared" si="129"/>
        <v>13.200000000000001</v>
      </c>
      <c r="I452" s="76" t="s">
        <v>16</v>
      </c>
      <c r="J452" s="240">
        <f t="shared" si="130"/>
        <v>0</v>
      </c>
      <c r="K452" s="77">
        <f t="shared" si="131"/>
        <v>0</v>
      </c>
      <c r="L452" s="78"/>
    </row>
    <row r="453" spans="1:12" s="268" customFormat="1" ht="283.5" x14ac:dyDescent="0.2">
      <c r="A453" s="72" t="str">
        <f>IF(F453&lt;&gt;"",1+MAX($A$1:A452),"")</f>
        <v/>
      </c>
      <c r="B453" s="73"/>
      <c r="C453" s="266"/>
      <c r="D453" s="270"/>
      <c r="E453" s="228" t="s">
        <v>651</v>
      </c>
      <c r="F453" s="264"/>
      <c r="G453" s="74"/>
      <c r="H453" s="74"/>
      <c r="I453" s="74"/>
      <c r="J453" s="74"/>
      <c r="K453" s="77"/>
      <c r="L453" s="78"/>
    </row>
    <row r="454" spans="1:12" s="1" customFormat="1" ht="16.5" thickBot="1" x14ac:dyDescent="0.25">
      <c r="A454" s="72" t="str">
        <f>IF(F454&lt;&gt;"",1+MAX($A$1:A453),"")</f>
        <v/>
      </c>
      <c r="B454" s="2"/>
      <c r="C454" s="2"/>
      <c r="D454" s="29"/>
      <c r="E454" s="35"/>
      <c r="F454" s="31"/>
      <c r="G454" s="190"/>
      <c r="H454" s="27"/>
      <c r="I454" s="28"/>
      <c r="J454" s="464"/>
      <c r="K454" s="465"/>
      <c r="L454" s="227"/>
    </row>
    <row r="455" spans="1:12" s="1" customFormat="1" ht="16.5" thickBot="1" x14ac:dyDescent="0.25">
      <c r="A455" s="72" t="str">
        <f>IF(F455&lt;&gt;"",1+MAX($A$1:A454),"")</f>
        <v/>
      </c>
      <c r="B455" s="26"/>
      <c r="C455" s="265"/>
      <c r="D455" s="150"/>
      <c r="E455" s="151" t="s">
        <v>387</v>
      </c>
      <c r="F455" s="152"/>
      <c r="G455" s="153"/>
      <c r="H455" s="154"/>
      <c r="I455" s="155"/>
      <c r="J455" s="280"/>
      <c r="K455" s="463"/>
      <c r="L455" s="17"/>
    </row>
    <row r="456" spans="1:12" s="268" customFormat="1" ht="47.25" x14ac:dyDescent="0.2">
      <c r="A456" s="72">
        <f>IF(F456&lt;&gt;"",1+MAX($A$1:A455),"")</f>
        <v>277</v>
      </c>
      <c r="B456" s="73" t="s">
        <v>345</v>
      </c>
      <c r="C456" s="266" t="s">
        <v>388</v>
      </c>
      <c r="D456" s="270"/>
      <c r="E456" s="228" t="s">
        <v>389</v>
      </c>
      <c r="F456" s="264">
        <f>9*5.58</f>
        <v>50.22</v>
      </c>
      <c r="G456" s="74">
        <v>0.1</v>
      </c>
      <c r="H456" s="75">
        <f t="shared" ref="H456:H457" si="132">F456*(1+G456)</f>
        <v>55.242000000000004</v>
      </c>
      <c r="I456" s="76" t="s">
        <v>16</v>
      </c>
      <c r="J456" s="240">
        <f t="shared" ref="J456:J457" si="133">J$443</f>
        <v>0</v>
      </c>
      <c r="K456" s="77">
        <f t="shared" ref="K456:K457" si="134">J456*H456</f>
        <v>0</v>
      </c>
      <c r="L456" s="78"/>
    </row>
    <row r="457" spans="1:12" s="268" customFormat="1" ht="31.5" x14ac:dyDescent="0.2">
      <c r="A457" s="72">
        <f>IF(F457&lt;&gt;"",1+MAX($A$1:A456),"")</f>
        <v>278</v>
      </c>
      <c r="B457" s="73" t="s">
        <v>345</v>
      </c>
      <c r="C457" s="266" t="s">
        <v>388</v>
      </c>
      <c r="D457" s="270"/>
      <c r="E457" s="228" t="s">
        <v>390</v>
      </c>
      <c r="F457" s="264">
        <f>3*7.5</f>
        <v>22.5</v>
      </c>
      <c r="G457" s="74">
        <v>0.1</v>
      </c>
      <c r="H457" s="75">
        <f t="shared" si="132"/>
        <v>24.750000000000004</v>
      </c>
      <c r="I457" s="76" t="s">
        <v>16</v>
      </c>
      <c r="J457" s="240">
        <f t="shared" si="133"/>
        <v>0</v>
      </c>
      <c r="K457" s="77">
        <f t="shared" si="134"/>
        <v>0</v>
      </c>
      <c r="L457" s="78"/>
    </row>
    <row r="458" spans="1:12" s="268" customFormat="1" ht="204.75" x14ac:dyDescent="0.2">
      <c r="A458" s="72" t="str">
        <f>IF(F458&lt;&gt;"",1+MAX($A$1:A457),"")</f>
        <v/>
      </c>
      <c r="B458" s="73"/>
      <c r="C458" s="266"/>
      <c r="D458" s="270"/>
      <c r="E458" s="228" t="s">
        <v>391</v>
      </c>
      <c r="F458" s="264"/>
      <c r="G458" s="74"/>
      <c r="H458" s="74"/>
      <c r="I458" s="74"/>
      <c r="J458" s="74"/>
      <c r="K458" s="77"/>
      <c r="L458" s="78"/>
    </row>
    <row r="459" spans="1:12" s="268" customFormat="1" ht="19.5" thickBot="1" x14ac:dyDescent="0.25">
      <c r="A459" s="72" t="str">
        <f>IF(F459&lt;&gt;"",1+MAX($A$1:A458),"")</f>
        <v/>
      </c>
      <c r="B459" s="73"/>
      <c r="C459" s="266"/>
      <c r="D459" s="270"/>
      <c r="E459" s="228"/>
      <c r="F459" s="264"/>
      <c r="G459" s="74"/>
      <c r="H459" s="74"/>
      <c r="I459" s="74"/>
      <c r="J459" s="74"/>
      <c r="K459" s="77"/>
      <c r="L459" s="78"/>
    </row>
    <row r="460" spans="1:12" s="1" customFormat="1" ht="16.5" thickBot="1" x14ac:dyDescent="0.25">
      <c r="A460" s="72" t="str">
        <f>IF(F460&lt;&gt;"",1+MAX($A$1:A459),"")</f>
        <v/>
      </c>
      <c r="B460" s="26"/>
      <c r="C460" s="265"/>
      <c r="D460" s="150"/>
      <c r="E460" s="151" t="s">
        <v>386</v>
      </c>
      <c r="F460" s="152"/>
      <c r="G460" s="153"/>
      <c r="H460" s="154"/>
      <c r="I460" s="155"/>
      <c r="J460" s="240"/>
      <c r="K460" s="156"/>
      <c r="L460" s="17"/>
    </row>
    <row r="461" spans="1:12" s="268" customFormat="1" ht="31.5" x14ac:dyDescent="0.2">
      <c r="A461" s="72">
        <f>IF(F461&lt;&gt;"",1+MAX($A$1:A460),"")</f>
        <v>279</v>
      </c>
      <c r="B461" s="73" t="s">
        <v>345</v>
      </c>
      <c r="C461" s="266"/>
      <c r="D461" s="270"/>
      <c r="E461" s="228" t="s">
        <v>1057</v>
      </c>
      <c r="F461" s="264">
        <v>1</v>
      </c>
      <c r="G461" s="74">
        <v>0</v>
      </c>
      <c r="H461" s="75">
        <f t="shared" ref="H461" si="135">F461*(1+G461)</f>
        <v>1</v>
      </c>
      <c r="I461" s="76" t="s">
        <v>18</v>
      </c>
      <c r="J461" s="144">
        <v>0</v>
      </c>
      <c r="K461" s="77">
        <f t="shared" ref="K461" si="136">J461*H461</f>
        <v>0</v>
      </c>
      <c r="L461" s="78"/>
    </row>
    <row r="462" spans="1:12" s="1" customFormat="1" ht="16.5" thickBot="1" x14ac:dyDescent="0.25">
      <c r="A462" s="72" t="str">
        <f>IF(F462&lt;&gt;"",1+MAX($A$1:A461),"")</f>
        <v/>
      </c>
      <c r="B462" s="2"/>
      <c r="C462" s="2"/>
      <c r="D462" s="29"/>
      <c r="E462" s="35"/>
      <c r="F462" s="31"/>
      <c r="G462" s="190"/>
      <c r="H462" s="27"/>
      <c r="I462" s="28"/>
      <c r="J462" s="464"/>
      <c r="K462" s="465"/>
      <c r="L462" s="227"/>
    </row>
    <row r="463" spans="1:12" s="1" customFormat="1" ht="16.5" thickBot="1" x14ac:dyDescent="0.25">
      <c r="A463" s="72" t="str">
        <f>IF(F463&lt;&gt;"",1+MAX($A$1:A462),"")</f>
        <v/>
      </c>
      <c r="B463" s="26"/>
      <c r="C463" s="265"/>
      <c r="D463" s="150"/>
      <c r="E463" s="151" t="s">
        <v>392</v>
      </c>
      <c r="F463" s="152"/>
      <c r="G463" s="153"/>
      <c r="H463" s="154"/>
      <c r="I463" s="155"/>
      <c r="J463" s="280"/>
      <c r="K463" s="463"/>
      <c r="L463" s="17"/>
    </row>
    <row r="464" spans="1:12" s="268" customFormat="1" ht="189" x14ac:dyDescent="0.2">
      <c r="A464" s="72">
        <f>IF(F464&lt;&gt;"",1+MAX($A$1:A463),"")</f>
        <v>280</v>
      </c>
      <c r="B464" s="73" t="s">
        <v>393</v>
      </c>
      <c r="C464" s="266" t="s">
        <v>393</v>
      </c>
      <c r="D464" s="270"/>
      <c r="E464" s="228" t="s">
        <v>394</v>
      </c>
      <c r="F464" s="264">
        <v>1</v>
      </c>
      <c r="G464" s="74">
        <v>0</v>
      </c>
      <c r="H464" s="75">
        <f t="shared" ref="H464:H477" si="137">F464*(1+G464)</f>
        <v>1</v>
      </c>
      <c r="I464" s="76" t="s">
        <v>18</v>
      </c>
      <c r="J464" s="467"/>
      <c r="K464" s="84"/>
      <c r="L464" s="78"/>
    </row>
    <row r="465" spans="1:12" s="268" customFormat="1" ht="173.25" x14ac:dyDescent="0.2">
      <c r="A465" s="72">
        <f>IF(F465&lt;&gt;"",1+MAX($A$1:A464),"")</f>
        <v>281</v>
      </c>
      <c r="B465" s="73" t="s">
        <v>393</v>
      </c>
      <c r="C465" s="266" t="s">
        <v>393</v>
      </c>
      <c r="D465" s="270"/>
      <c r="E465" s="228" t="s">
        <v>395</v>
      </c>
      <c r="F465" s="264">
        <v>1</v>
      </c>
      <c r="G465" s="74">
        <v>0</v>
      </c>
      <c r="H465" s="75">
        <f t="shared" si="137"/>
        <v>1</v>
      </c>
      <c r="I465" s="76" t="s">
        <v>18</v>
      </c>
      <c r="J465" s="467"/>
      <c r="K465" s="84"/>
      <c r="L465" s="78"/>
    </row>
    <row r="466" spans="1:12" s="268" customFormat="1" ht="141.75" x14ac:dyDescent="0.2">
      <c r="A466" s="72">
        <f>IF(F466&lt;&gt;"",1+MAX($A$1:A465),"")</f>
        <v>282</v>
      </c>
      <c r="B466" s="73" t="s">
        <v>393</v>
      </c>
      <c r="C466" s="266" t="s">
        <v>393</v>
      </c>
      <c r="D466" s="270"/>
      <c r="E466" s="228" t="s">
        <v>396</v>
      </c>
      <c r="F466" s="264">
        <v>1</v>
      </c>
      <c r="G466" s="74">
        <v>0</v>
      </c>
      <c r="H466" s="75">
        <f t="shared" si="137"/>
        <v>1</v>
      </c>
      <c r="I466" s="76" t="s">
        <v>18</v>
      </c>
      <c r="J466" s="467"/>
      <c r="K466" s="84"/>
      <c r="L466" s="78"/>
    </row>
    <row r="467" spans="1:12" s="268" customFormat="1" ht="157.5" x14ac:dyDescent="0.2">
      <c r="A467" s="72">
        <f>IF(F467&lt;&gt;"",1+MAX($A$1:A466),"")</f>
        <v>283</v>
      </c>
      <c r="B467" s="73" t="s">
        <v>393</v>
      </c>
      <c r="C467" s="266" t="s">
        <v>393</v>
      </c>
      <c r="D467" s="270"/>
      <c r="E467" s="228" t="s">
        <v>397</v>
      </c>
      <c r="F467" s="264">
        <f>2+2</f>
        <v>4</v>
      </c>
      <c r="G467" s="74">
        <v>0</v>
      </c>
      <c r="H467" s="75">
        <f t="shared" si="137"/>
        <v>4</v>
      </c>
      <c r="I467" s="76" t="s">
        <v>18</v>
      </c>
      <c r="J467" s="467"/>
      <c r="K467" s="84"/>
      <c r="L467" s="78"/>
    </row>
    <row r="468" spans="1:12" s="268" customFormat="1" ht="173.25" x14ac:dyDescent="0.2">
      <c r="A468" s="72">
        <f>IF(F468&lt;&gt;"",1+MAX($A$1:A467),"")</f>
        <v>284</v>
      </c>
      <c r="B468" s="73" t="s">
        <v>393</v>
      </c>
      <c r="C468" s="266" t="s">
        <v>393</v>
      </c>
      <c r="D468" s="270"/>
      <c r="E468" s="228" t="s">
        <v>398</v>
      </c>
      <c r="F468" s="264">
        <f>1+1</f>
        <v>2</v>
      </c>
      <c r="G468" s="74">
        <v>0</v>
      </c>
      <c r="H468" s="75">
        <f t="shared" si="137"/>
        <v>2</v>
      </c>
      <c r="I468" s="76" t="s">
        <v>18</v>
      </c>
      <c r="J468" s="467"/>
      <c r="K468" s="84"/>
      <c r="L468" s="78"/>
    </row>
    <row r="469" spans="1:12" s="268" customFormat="1" ht="157.5" x14ac:dyDescent="0.2">
      <c r="A469" s="72">
        <f>IF(F469&lt;&gt;"",1+MAX($A$1:A468),"")</f>
        <v>285</v>
      </c>
      <c r="B469" s="73" t="s">
        <v>393</v>
      </c>
      <c r="C469" s="266" t="s">
        <v>393</v>
      </c>
      <c r="D469" s="270"/>
      <c r="E469" s="228" t="s">
        <v>399</v>
      </c>
      <c r="F469" s="264">
        <v>1</v>
      </c>
      <c r="G469" s="74">
        <v>0</v>
      </c>
      <c r="H469" s="75">
        <f t="shared" si="137"/>
        <v>1</v>
      </c>
      <c r="I469" s="76" t="s">
        <v>18</v>
      </c>
      <c r="J469" s="467"/>
      <c r="K469" s="84"/>
      <c r="L469" s="78"/>
    </row>
    <row r="470" spans="1:12" s="268" customFormat="1" ht="204.75" x14ac:dyDescent="0.2">
      <c r="A470" s="72">
        <f>IF(F470&lt;&gt;"",1+MAX($A$1:A469),"")</f>
        <v>286</v>
      </c>
      <c r="B470" s="73" t="s">
        <v>393</v>
      </c>
      <c r="C470" s="266" t="s">
        <v>393</v>
      </c>
      <c r="D470" s="270"/>
      <c r="E470" s="228" t="s">
        <v>400</v>
      </c>
      <c r="F470" s="264">
        <v>1</v>
      </c>
      <c r="G470" s="74">
        <v>0</v>
      </c>
      <c r="H470" s="75">
        <f t="shared" si="137"/>
        <v>1</v>
      </c>
      <c r="I470" s="76" t="s">
        <v>18</v>
      </c>
      <c r="J470" s="467"/>
      <c r="K470" s="84"/>
      <c r="L470" s="78"/>
    </row>
    <row r="471" spans="1:12" s="268" customFormat="1" ht="157.5" x14ac:dyDescent="0.2">
      <c r="A471" s="72">
        <f>IF(F471&lt;&gt;"",1+MAX($A$1:A470),"")</f>
        <v>287</v>
      </c>
      <c r="B471" s="73" t="s">
        <v>393</v>
      </c>
      <c r="C471" s="266" t="s">
        <v>393</v>
      </c>
      <c r="D471" s="270"/>
      <c r="E471" s="228" t="s">
        <v>401</v>
      </c>
      <c r="F471" s="264">
        <f>2+1+2</f>
        <v>5</v>
      </c>
      <c r="G471" s="74">
        <v>0</v>
      </c>
      <c r="H471" s="75">
        <f t="shared" si="137"/>
        <v>5</v>
      </c>
      <c r="I471" s="76" t="s">
        <v>18</v>
      </c>
      <c r="J471" s="467"/>
      <c r="K471" s="84"/>
      <c r="L471" s="78"/>
    </row>
    <row r="472" spans="1:12" s="268" customFormat="1" ht="173.25" x14ac:dyDescent="0.2">
      <c r="A472" s="72">
        <f>IF(F472&lt;&gt;"",1+MAX($A$1:A471),"")</f>
        <v>288</v>
      </c>
      <c r="B472" s="73" t="s">
        <v>393</v>
      </c>
      <c r="C472" s="266" t="s">
        <v>393</v>
      </c>
      <c r="D472" s="270"/>
      <c r="E472" s="228" t="s">
        <v>402</v>
      </c>
      <c r="F472" s="264">
        <v>8</v>
      </c>
      <c r="G472" s="74">
        <v>0</v>
      </c>
      <c r="H472" s="75">
        <f t="shared" si="137"/>
        <v>8</v>
      </c>
      <c r="I472" s="76" t="s">
        <v>18</v>
      </c>
      <c r="J472" s="467"/>
      <c r="K472" s="84"/>
      <c r="L472" s="78"/>
    </row>
    <row r="473" spans="1:12" s="268" customFormat="1" ht="94.5" x14ac:dyDescent="0.2">
      <c r="A473" s="72">
        <f>IF(F473&lt;&gt;"",1+MAX($A$1:A472),"")</f>
        <v>289</v>
      </c>
      <c r="B473" s="73" t="s">
        <v>393</v>
      </c>
      <c r="C473" s="266" t="s">
        <v>393</v>
      </c>
      <c r="D473" s="270"/>
      <c r="E473" s="228" t="s">
        <v>403</v>
      </c>
      <c r="F473" s="264">
        <v>24</v>
      </c>
      <c r="G473" s="74">
        <v>0</v>
      </c>
      <c r="H473" s="75">
        <f t="shared" si="137"/>
        <v>24</v>
      </c>
      <c r="I473" s="76" t="s">
        <v>18</v>
      </c>
      <c r="J473" s="467"/>
      <c r="K473" s="84"/>
      <c r="L473" s="78"/>
    </row>
    <row r="474" spans="1:12" s="268" customFormat="1" ht="94.5" x14ac:dyDescent="0.2">
      <c r="A474" s="72">
        <f>IF(F474&lt;&gt;"",1+MAX($A$1:A473),"")</f>
        <v>290</v>
      </c>
      <c r="B474" s="73" t="s">
        <v>393</v>
      </c>
      <c r="C474" s="266" t="s">
        <v>393</v>
      </c>
      <c r="D474" s="270"/>
      <c r="E474" s="228" t="s">
        <v>404</v>
      </c>
      <c r="F474" s="264">
        <v>12</v>
      </c>
      <c r="G474" s="74">
        <v>0</v>
      </c>
      <c r="H474" s="75">
        <f t="shared" si="137"/>
        <v>12</v>
      </c>
      <c r="I474" s="76" t="s">
        <v>18</v>
      </c>
      <c r="J474" s="467"/>
      <c r="K474" s="84"/>
      <c r="L474" s="78"/>
    </row>
    <row r="475" spans="1:12" s="268" customFormat="1" ht="78.75" x14ac:dyDescent="0.2">
      <c r="A475" s="72">
        <f>IF(F475&lt;&gt;"",1+MAX($A$1:A474),"")</f>
        <v>291</v>
      </c>
      <c r="B475" s="73" t="s">
        <v>393</v>
      </c>
      <c r="C475" s="266" t="s">
        <v>393</v>
      </c>
      <c r="D475" s="270"/>
      <c r="E475" s="228" t="s">
        <v>405</v>
      </c>
      <c r="F475" s="264">
        <v>8</v>
      </c>
      <c r="G475" s="74">
        <v>0</v>
      </c>
      <c r="H475" s="75">
        <f t="shared" si="137"/>
        <v>8</v>
      </c>
      <c r="I475" s="76" t="s">
        <v>18</v>
      </c>
      <c r="J475" s="467"/>
      <c r="K475" s="84"/>
      <c r="L475" s="78"/>
    </row>
    <row r="476" spans="1:12" s="268" customFormat="1" ht="47.25" x14ac:dyDescent="0.2">
      <c r="A476" s="72">
        <f>IF(F476&lt;&gt;"",1+MAX($A$1:A475),"")</f>
        <v>292</v>
      </c>
      <c r="B476" s="73" t="s">
        <v>393</v>
      </c>
      <c r="C476" s="266" t="s">
        <v>393</v>
      </c>
      <c r="D476" s="270"/>
      <c r="E476" s="228" t="s">
        <v>406</v>
      </c>
      <c r="F476" s="264">
        <v>8</v>
      </c>
      <c r="G476" s="74">
        <v>0</v>
      </c>
      <c r="H476" s="75">
        <f t="shared" si="137"/>
        <v>8</v>
      </c>
      <c r="I476" s="76" t="s">
        <v>18</v>
      </c>
      <c r="J476" s="467"/>
      <c r="K476" s="84"/>
      <c r="L476" s="78"/>
    </row>
    <row r="477" spans="1:12" s="268" customFormat="1" ht="78.75" x14ac:dyDescent="0.2">
      <c r="A477" s="72">
        <f>IF(F477&lt;&gt;"",1+MAX($A$1:A476),"")</f>
        <v>293</v>
      </c>
      <c r="B477" s="73" t="s">
        <v>393</v>
      </c>
      <c r="C477" s="266" t="s">
        <v>393</v>
      </c>
      <c r="D477" s="270"/>
      <c r="E477" s="228" t="s">
        <v>407</v>
      </c>
      <c r="F477" s="264">
        <v>1</v>
      </c>
      <c r="G477" s="74">
        <v>0</v>
      </c>
      <c r="H477" s="75">
        <f t="shared" si="137"/>
        <v>1</v>
      </c>
      <c r="I477" s="76" t="s">
        <v>18</v>
      </c>
      <c r="J477" s="467"/>
      <c r="K477" s="84"/>
      <c r="L477" s="78"/>
    </row>
    <row r="478" spans="1:12" s="1" customFormat="1" ht="32.25" thickBot="1" x14ac:dyDescent="0.25">
      <c r="A478" s="72" t="str">
        <f>IF(F478&lt;&gt;"",1+MAX($A$1:A477),"")</f>
        <v/>
      </c>
      <c r="B478" s="2"/>
      <c r="C478" s="2"/>
      <c r="D478" s="29"/>
      <c r="E478" s="466" t="s">
        <v>654</v>
      </c>
      <c r="F478" s="31"/>
      <c r="G478" s="32"/>
      <c r="H478" s="31"/>
      <c r="I478" s="33"/>
      <c r="J478" s="275"/>
      <c r="K478" s="41"/>
      <c r="L478" s="227"/>
    </row>
    <row r="479" spans="1:12" s="1" customFormat="1" ht="16.5" thickBot="1" x14ac:dyDescent="0.25">
      <c r="A479" s="72" t="str">
        <f>IF(F479&lt;&gt;"",1+MAX($A$1:A478),"")</f>
        <v/>
      </c>
      <c r="B479" s="2"/>
      <c r="C479" s="2"/>
      <c r="D479" s="29"/>
      <c r="E479" s="35" t="s">
        <v>408</v>
      </c>
      <c r="F479" s="25"/>
      <c r="G479" s="20"/>
      <c r="H479" s="3"/>
      <c r="I479" s="21"/>
      <c r="J479" s="276"/>
      <c r="K479" s="42"/>
      <c r="L479" s="277">
        <f>SUM(K427:K478)</f>
        <v>0</v>
      </c>
    </row>
    <row r="480" spans="1:12" s="11" customFormat="1" ht="16.5" thickBot="1" x14ac:dyDescent="0.25">
      <c r="A480" s="72" t="str">
        <f>IF(F480&lt;&gt;"",1+MAX($A$1:A479),"")</f>
        <v/>
      </c>
      <c r="B480" s="2"/>
      <c r="C480" s="201"/>
      <c r="D480" s="201"/>
      <c r="E480" s="278"/>
      <c r="F480" s="13"/>
      <c r="G480" s="279"/>
      <c r="H480" s="3"/>
      <c r="I480" s="4"/>
      <c r="J480" s="280"/>
      <c r="K480" s="281"/>
      <c r="L480" s="17"/>
    </row>
    <row r="481" spans="1:12" s="11" customFormat="1" ht="16.5" thickBot="1" x14ac:dyDescent="0.25">
      <c r="A481" s="72" t="str">
        <f>IF(F481&lt;&gt;"",1+MAX($A$1:A480),"")</f>
        <v/>
      </c>
      <c r="B481" s="38"/>
      <c r="C481" s="22"/>
      <c r="D481" s="22" t="s">
        <v>19</v>
      </c>
      <c r="E481" s="34" t="s">
        <v>20</v>
      </c>
      <c r="F481" s="24"/>
      <c r="G481" s="19"/>
      <c r="H481" s="19"/>
      <c r="I481" s="19"/>
      <c r="J481" s="44"/>
      <c r="K481" s="40"/>
      <c r="L481" s="137"/>
    </row>
    <row r="482" spans="1:12" s="1" customFormat="1" ht="16.5" thickBot="1" x14ac:dyDescent="0.25">
      <c r="A482" s="72" t="str">
        <f>IF(F482&lt;&gt;"",1+MAX($A$1:A481),"")</f>
        <v/>
      </c>
      <c r="B482" s="26"/>
      <c r="C482" s="218"/>
      <c r="D482" s="150"/>
      <c r="E482" s="151" t="s">
        <v>30</v>
      </c>
      <c r="F482" s="152"/>
      <c r="G482" s="235"/>
      <c r="H482" s="236"/>
      <c r="I482" s="237"/>
      <c r="J482" s="238"/>
      <c r="K482" s="239"/>
      <c r="L482" s="137"/>
    </row>
    <row r="483" spans="1:12" s="121" customFormat="1" ht="16.5" thickBot="1" x14ac:dyDescent="0.25">
      <c r="A483" s="72" t="str">
        <f>IF(F483&lt;&gt;"",1+MAX($A$1:A482),"")</f>
        <v/>
      </c>
      <c r="B483" s="2"/>
      <c r="C483" s="244"/>
      <c r="D483" s="247"/>
      <c r="E483" s="249" t="s">
        <v>140</v>
      </c>
      <c r="F483" s="248"/>
      <c r="G483" s="20"/>
      <c r="H483" s="140"/>
      <c r="I483" s="4"/>
      <c r="J483" s="141"/>
      <c r="K483" s="142"/>
      <c r="L483" s="137"/>
    </row>
    <row r="484" spans="1:12" s="121" customFormat="1" x14ac:dyDescent="0.2">
      <c r="A484" s="72" t="str">
        <f>IF(F484&lt;&gt;"",1+MAX($A$1:A483),"")</f>
        <v/>
      </c>
      <c r="B484" s="138"/>
      <c r="C484" s="219"/>
      <c r="D484" s="133"/>
      <c r="E484" s="139" t="s">
        <v>92</v>
      </c>
      <c r="F484" s="134"/>
      <c r="G484" s="20"/>
      <c r="H484" s="140"/>
      <c r="I484" s="4"/>
      <c r="J484" s="141"/>
      <c r="K484" s="142"/>
      <c r="L484" s="137"/>
    </row>
    <row r="485" spans="1:12" s="121" customFormat="1" x14ac:dyDescent="0.2">
      <c r="A485" s="72">
        <f>IF(F485&lt;&gt;"",1+MAX($A$1:A484),"")</f>
        <v>294</v>
      </c>
      <c r="B485" s="2" t="s">
        <v>88</v>
      </c>
      <c r="C485" s="200" t="s">
        <v>95</v>
      </c>
      <c r="D485" s="225"/>
      <c r="E485" s="143" t="s">
        <v>91</v>
      </c>
      <c r="F485" s="13">
        <f>12.8*10*2</f>
        <v>256</v>
      </c>
      <c r="G485" s="74">
        <v>0.1</v>
      </c>
      <c r="H485" s="27">
        <f>F485*(1+G485)</f>
        <v>281.60000000000002</v>
      </c>
      <c r="I485" s="28" t="s">
        <v>16</v>
      </c>
      <c r="J485" s="144">
        <v>0</v>
      </c>
      <c r="K485" s="136">
        <f>J485*H485</f>
        <v>0</v>
      </c>
      <c r="L485" s="137"/>
    </row>
    <row r="486" spans="1:12" s="121" customFormat="1" x14ac:dyDescent="0.2">
      <c r="A486" s="72" t="str">
        <f>IF(F486&lt;&gt;"",1+MAX($A$1:A485),"")</f>
        <v/>
      </c>
      <c r="B486" s="30"/>
      <c r="C486" s="220"/>
      <c r="D486" s="145"/>
      <c r="E486" s="146" t="s">
        <v>22</v>
      </c>
      <c r="F486" s="147"/>
      <c r="G486" s="148"/>
      <c r="H486" s="27">
        <f>ROUNDUP((H485)/32,0)</f>
        <v>9</v>
      </c>
      <c r="I486" s="28" t="s">
        <v>23</v>
      </c>
      <c r="J486" s="135"/>
      <c r="K486" s="136"/>
      <c r="L486" s="137"/>
    </row>
    <row r="487" spans="1:12" s="121" customFormat="1" x14ac:dyDescent="0.2">
      <c r="A487" s="72" t="str">
        <f>IF(F487&lt;&gt;"",1+MAX($A$1:A486),"")</f>
        <v/>
      </c>
      <c r="B487" s="30"/>
      <c r="C487" s="220"/>
      <c r="D487" s="145"/>
      <c r="E487" s="146" t="s">
        <v>24</v>
      </c>
      <c r="F487" s="147"/>
      <c r="G487" s="148"/>
      <c r="H487" s="27">
        <f>ROUNDUP(H486*24/500,0)</f>
        <v>1</v>
      </c>
      <c r="I487" s="28" t="s">
        <v>25</v>
      </c>
      <c r="J487" s="135"/>
      <c r="K487" s="136"/>
      <c r="L487" s="137"/>
    </row>
    <row r="488" spans="1:12" s="121" customFormat="1" x14ac:dyDescent="0.2">
      <c r="A488" s="72" t="str">
        <f>IF(F488&lt;&gt;"",1+MAX($A$1:A487),"")</f>
        <v/>
      </c>
      <c r="B488" s="30"/>
      <c r="C488" s="220"/>
      <c r="D488" s="145"/>
      <c r="E488" s="146" t="s">
        <v>26</v>
      </c>
      <c r="F488" s="147"/>
      <c r="G488" s="148"/>
      <c r="H488" s="149">
        <f>ROUNDUP((H485)/200,0)</f>
        <v>2</v>
      </c>
      <c r="I488" s="28" t="s">
        <v>27</v>
      </c>
      <c r="J488" s="135"/>
      <c r="K488" s="136"/>
      <c r="L488" s="137"/>
    </row>
    <row r="489" spans="1:12" s="121" customFormat="1" x14ac:dyDescent="0.2">
      <c r="A489" s="72" t="str">
        <f>IF(F489&lt;&gt;"",1+MAX($A$1:A488),"")</f>
        <v/>
      </c>
      <c r="B489" s="30"/>
      <c r="C489" s="220"/>
      <c r="D489" s="145"/>
      <c r="E489" s="146" t="s">
        <v>28</v>
      </c>
      <c r="F489" s="147"/>
      <c r="G489" s="148"/>
      <c r="H489" s="149">
        <f>ROUNDUP((H485)*5.25/1000,0)</f>
        <v>2</v>
      </c>
      <c r="I489" s="28" t="s">
        <v>29</v>
      </c>
      <c r="J489" s="135"/>
      <c r="K489" s="136"/>
      <c r="L489" s="137"/>
    </row>
    <row r="490" spans="1:12" s="121" customFormat="1" x14ac:dyDescent="0.2">
      <c r="A490" s="72">
        <f>IF(F490&lt;&gt;"",1+MAX($A$1:A489),"")</f>
        <v>295</v>
      </c>
      <c r="B490" s="2" t="s">
        <v>88</v>
      </c>
      <c r="C490" s="200" t="s">
        <v>95</v>
      </c>
      <c r="D490" s="145"/>
      <c r="E490" s="143" t="s">
        <v>94</v>
      </c>
      <c r="F490" s="13">
        <f>12.8*4</f>
        <v>51.2</v>
      </c>
      <c r="G490" s="74">
        <v>0.1</v>
      </c>
      <c r="H490" s="27">
        <f t="shared" ref="H490:H491" si="138">F490*(1+G490)</f>
        <v>56.320000000000007</v>
      </c>
      <c r="I490" s="28" t="s">
        <v>13</v>
      </c>
      <c r="J490" s="144">
        <v>0</v>
      </c>
      <c r="K490" s="136">
        <f t="shared" ref="K490:K491" si="139">J490*H490</f>
        <v>0</v>
      </c>
      <c r="L490" s="137"/>
    </row>
    <row r="491" spans="1:12" s="121" customFormat="1" x14ac:dyDescent="0.2">
      <c r="A491" s="72">
        <f>IF(F491&lt;&gt;"",1+MAX($A$1:A490),"")</f>
        <v>296</v>
      </c>
      <c r="B491" s="2" t="s">
        <v>88</v>
      </c>
      <c r="C491" s="200" t="s">
        <v>95</v>
      </c>
      <c r="D491" s="145"/>
      <c r="E491" s="143" t="s">
        <v>99</v>
      </c>
      <c r="F491" s="13">
        <f>12.8*10</f>
        <v>128</v>
      </c>
      <c r="G491" s="74">
        <v>0.1</v>
      </c>
      <c r="H491" s="27">
        <f t="shared" si="138"/>
        <v>140.80000000000001</v>
      </c>
      <c r="I491" s="28" t="s">
        <v>16</v>
      </c>
      <c r="J491" s="144">
        <v>0</v>
      </c>
      <c r="K491" s="136">
        <f t="shared" si="139"/>
        <v>0</v>
      </c>
      <c r="L491" s="137"/>
    </row>
    <row r="492" spans="1:12" s="121" customFormat="1" x14ac:dyDescent="0.2">
      <c r="A492" s="72" t="str">
        <f>IF(F492&lt;&gt;"",1+MAX($A$1:A491),"")</f>
        <v/>
      </c>
      <c r="B492" s="2"/>
      <c r="C492" s="244"/>
      <c r="D492" s="145"/>
      <c r="E492" s="146"/>
      <c r="F492" s="147"/>
      <c r="G492" s="148"/>
      <c r="H492" s="27"/>
      <c r="I492" s="28"/>
      <c r="J492" s="135"/>
      <c r="K492" s="136"/>
      <c r="L492" s="137"/>
    </row>
    <row r="493" spans="1:12" s="121" customFormat="1" x14ac:dyDescent="0.2">
      <c r="A493" s="72" t="str">
        <f>IF(F493&lt;&gt;"",1+MAX($A$1:A492),"")</f>
        <v/>
      </c>
      <c r="B493" s="138"/>
      <c r="C493" s="219"/>
      <c r="D493" s="133"/>
      <c r="E493" s="139" t="s">
        <v>122</v>
      </c>
      <c r="F493" s="134"/>
      <c r="G493" s="20"/>
      <c r="H493" s="140"/>
      <c r="I493" s="4"/>
      <c r="J493" s="141"/>
      <c r="K493" s="142"/>
      <c r="L493" s="137"/>
    </row>
    <row r="494" spans="1:12" s="121" customFormat="1" x14ac:dyDescent="0.2">
      <c r="A494" s="72">
        <f>IF(F494&lt;&gt;"",1+MAX($A$1:A493),"")</f>
        <v>297</v>
      </c>
      <c r="B494" s="2" t="s">
        <v>88</v>
      </c>
      <c r="C494" s="200" t="s">
        <v>95</v>
      </c>
      <c r="D494" s="225"/>
      <c r="E494" s="143" t="s">
        <v>97</v>
      </c>
      <c r="F494" s="13">
        <f>5.3*13</f>
        <v>68.899999999999991</v>
      </c>
      <c r="G494" s="74">
        <v>0.1</v>
      </c>
      <c r="H494" s="27">
        <f>F494*(1+G494)</f>
        <v>75.789999999999992</v>
      </c>
      <c r="I494" s="28" t="s">
        <v>16</v>
      </c>
      <c r="J494" s="135">
        <f>J$485</f>
        <v>0</v>
      </c>
      <c r="K494" s="136">
        <f>J494*H494</f>
        <v>0</v>
      </c>
      <c r="L494" s="137"/>
    </row>
    <row r="495" spans="1:12" s="121" customFormat="1" x14ac:dyDescent="0.2">
      <c r="A495" s="72" t="str">
        <f>IF(F495&lt;&gt;"",1+MAX($A$1:A494),"")</f>
        <v/>
      </c>
      <c r="B495" s="30"/>
      <c r="C495" s="220"/>
      <c r="D495" s="145"/>
      <c r="E495" s="146" t="s">
        <v>22</v>
      </c>
      <c r="F495" s="147"/>
      <c r="G495" s="148"/>
      <c r="H495" s="27">
        <f>ROUNDUP((H494)/32,0)</f>
        <v>3</v>
      </c>
      <c r="I495" s="28" t="s">
        <v>23</v>
      </c>
      <c r="J495" s="135"/>
      <c r="K495" s="136"/>
      <c r="L495" s="137"/>
    </row>
    <row r="496" spans="1:12" s="121" customFormat="1" x14ac:dyDescent="0.2">
      <c r="A496" s="72" t="str">
        <f>IF(F496&lt;&gt;"",1+MAX($A$1:A495),"")</f>
        <v/>
      </c>
      <c r="B496" s="30"/>
      <c r="C496" s="220"/>
      <c r="D496" s="145"/>
      <c r="E496" s="146" t="s">
        <v>24</v>
      </c>
      <c r="F496" s="147"/>
      <c r="G496" s="148"/>
      <c r="H496" s="27">
        <f>ROUNDUP(H495*24/500,0)</f>
        <v>1</v>
      </c>
      <c r="I496" s="28" t="s">
        <v>25</v>
      </c>
      <c r="J496" s="135"/>
      <c r="K496" s="136"/>
      <c r="L496" s="137"/>
    </row>
    <row r="497" spans="1:12" s="121" customFormat="1" x14ac:dyDescent="0.2">
      <c r="A497" s="72" t="str">
        <f>IF(F497&lt;&gt;"",1+MAX($A$1:A496),"")</f>
        <v/>
      </c>
      <c r="B497" s="30"/>
      <c r="C497" s="220"/>
      <c r="D497" s="145"/>
      <c r="E497" s="146" t="s">
        <v>26</v>
      </c>
      <c r="F497" s="147"/>
      <c r="G497" s="148"/>
      <c r="H497" s="149">
        <f>ROUNDUP((H494)/200,0)</f>
        <v>1</v>
      </c>
      <c r="I497" s="28" t="s">
        <v>27</v>
      </c>
      <c r="J497" s="135"/>
      <c r="K497" s="136"/>
      <c r="L497" s="137"/>
    </row>
    <row r="498" spans="1:12" s="121" customFormat="1" x14ac:dyDescent="0.2">
      <c r="A498" s="72" t="str">
        <f>IF(F498&lt;&gt;"",1+MAX($A$1:A497),"")</f>
        <v/>
      </c>
      <c r="B498" s="30"/>
      <c r="C498" s="220"/>
      <c r="D498" s="145"/>
      <c r="E498" s="146" t="s">
        <v>28</v>
      </c>
      <c r="F498" s="147"/>
      <c r="G498" s="148"/>
      <c r="H498" s="149">
        <f>ROUNDUP((H494)*5.25/1000,0)</f>
        <v>1</v>
      </c>
      <c r="I498" s="28" t="s">
        <v>29</v>
      </c>
      <c r="J498" s="135"/>
      <c r="K498" s="136"/>
      <c r="L498" s="137"/>
    </row>
    <row r="499" spans="1:12" s="121" customFormat="1" x14ac:dyDescent="0.2">
      <c r="A499" s="72">
        <f>IF(F499&lt;&gt;"",1+MAX($A$1:A498),"")</f>
        <v>298</v>
      </c>
      <c r="B499" s="2" t="s">
        <v>88</v>
      </c>
      <c r="C499" s="200" t="s">
        <v>95</v>
      </c>
      <c r="D499" s="145"/>
      <c r="E499" s="143" t="s">
        <v>94</v>
      </c>
      <c r="F499" s="13">
        <f>5.3*2</f>
        <v>10.6</v>
      </c>
      <c r="G499" s="74">
        <v>0.1</v>
      </c>
      <c r="H499" s="27">
        <f t="shared" ref="H499:H500" si="140">F499*(1+G499)</f>
        <v>11.66</v>
      </c>
      <c r="I499" s="28" t="s">
        <v>13</v>
      </c>
      <c r="J499" s="135">
        <f>J$490</f>
        <v>0</v>
      </c>
      <c r="K499" s="136">
        <f t="shared" ref="K499:K500" si="141">J499*H499</f>
        <v>0</v>
      </c>
      <c r="L499" s="137"/>
    </row>
    <row r="500" spans="1:12" s="121" customFormat="1" x14ac:dyDescent="0.2">
      <c r="A500" s="72">
        <f>IF(F500&lt;&gt;"",1+MAX($A$1:A499),"")</f>
        <v>299</v>
      </c>
      <c r="B500" s="2" t="s">
        <v>88</v>
      </c>
      <c r="C500" s="200" t="s">
        <v>95</v>
      </c>
      <c r="D500" s="468"/>
      <c r="E500" s="143" t="s">
        <v>123</v>
      </c>
      <c r="F500" s="13">
        <f t="shared" ref="F500" si="142">5.3*13</f>
        <v>68.899999999999991</v>
      </c>
      <c r="G500" s="74">
        <v>0.1</v>
      </c>
      <c r="H500" s="27">
        <f t="shared" si="140"/>
        <v>75.789999999999992</v>
      </c>
      <c r="I500" s="28" t="s">
        <v>16</v>
      </c>
      <c r="J500" s="144">
        <v>0</v>
      </c>
      <c r="K500" s="136">
        <f t="shared" si="141"/>
        <v>0</v>
      </c>
      <c r="L500" s="137"/>
    </row>
    <row r="501" spans="1:12" s="121" customFormat="1" x14ac:dyDescent="0.2">
      <c r="A501" s="72" t="str">
        <f>IF(F501&lt;&gt;"",1+MAX($A$1:A500),"")</f>
        <v/>
      </c>
      <c r="B501" s="2"/>
      <c r="C501" s="244"/>
      <c r="D501" s="145"/>
      <c r="E501" s="146"/>
      <c r="F501" s="147"/>
      <c r="G501" s="148"/>
      <c r="H501" s="27"/>
      <c r="I501" s="28"/>
      <c r="J501" s="135"/>
      <c r="K501" s="136"/>
      <c r="L501" s="137"/>
    </row>
    <row r="502" spans="1:12" s="121" customFormat="1" x14ac:dyDescent="0.2">
      <c r="A502" s="72" t="str">
        <f>IF(F502&lt;&gt;"",1+MAX($A$1:A501),"")</f>
        <v/>
      </c>
      <c r="B502" s="138"/>
      <c r="C502" s="219"/>
      <c r="D502" s="133"/>
      <c r="E502" s="139" t="s">
        <v>124</v>
      </c>
      <c r="F502" s="134"/>
      <c r="G502" s="20"/>
      <c r="H502" s="140"/>
      <c r="I502" s="4"/>
      <c r="J502" s="141"/>
      <c r="K502" s="142"/>
      <c r="L502" s="137"/>
    </row>
    <row r="503" spans="1:12" s="121" customFormat="1" x14ac:dyDescent="0.2">
      <c r="A503" s="72">
        <f>IF(F503&lt;&gt;"",1+MAX($A$1:A502),"")</f>
        <v>300</v>
      </c>
      <c r="B503" s="2" t="s">
        <v>88</v>
      </c>
      <c r="C503" s="200" t="s">
        <v>95</v>
      </c>
      <c r="D503" s="225"/>
      <c r="E503" s="143" t="s">
        <v>97</v>
      </c>
      <c r="F503" s="13">
        <f>54.3*14.25</f>
        <v>773.77499999999998</v>
      </c>
      <c r="G503" s="74">
        <v>0.1</v>
      </c>
      <c r="H503" s="27">
        <f>F503*(1+G503)</f>
        <v>851.15250000000003</v>
      </c>
      <c r="I503" s="28" t="s">
        <v>16</v>
      </c>
      <c r="J503" s="135">
        <f>J$485</f>
        <v>0</v>
      </c>
      <c r="K503" s="136">
        <f>J503*H503</f>
        <v>0</v>
      </c>
      <c r="L503" s="137"/>
    </row>
    <row r="504" spans="1:12" s="121" customFormat="1" x14ac:dyDescent="0.2">
      <c r="A504" s="72" t="str">
        <f>IF(F504&lt;&gt;"",1+MAX($A$1:A503),"")</f>
        <v/>
      </c>
      <c r="B504" s="30"/>
      <c r="C504" s="220"/>
      <c r="D504" s="145"/>
      <c r="E504" s="146" t="s">
        <v>22</v>
      </c>
      <c r="F504" s="147"/>
      <c r="G504" s="148"/>
      <c r="H504" s="27">
        <f>ROUNDUP((H503)/32,0)</f>
        <v>27</v>
      </c>
      <c r="I504" s="28" t="s">
        <v>23</v>
      </c>
      <c r="J504" s="135"/>
      <c r="K504" s="136"/>
      <c r="L504" s="137"/>
    </row>
    <row r="505" spans="1:12" s="121" customFormat="1" x14ac:dyDescent="0.2">
      <c r="A505" s="72" t="str">
        <f>IF(F505&lt;&gt;"",1+MAX($A$1:A504),"")</f>
        <v/>
      </c>
      <c r="B505" s="30"/>
      <c r="C505" s="220"/>
      <c r="D505" s="145"/>
      <c r="E505" s="146" t="s">
        <v>24</v>
      </c>
      <c r="F505" s="147"/>
      <c r="G505" s="148"/>
      <c r="H505" s="27">
        <f>ROUNDUP(H504*24/500,0)</f>
        <v>2</v>
      </c>
      <c r="I505" s="28" t="s">
        <v>25</v>
      </c>
      <c r="J505" s="135"/>
      <c r="K505" s="136"/>
      <c r="L505" s="137"/>
    </row>
    <row r="506" spans="1:12" s="121" customFormat="1" x14ac:dyDescent="0.2">
      <c r="A506" s="72" t="str">
        <f>IF(F506&lt;&gt;"",1+MAX($A$1:A505),"")</f>
        <v/>
      </c>
      <c r="B506" s="30"/>
      <c r="C506" s="220"/>
      <c r="D506" s="145"/>
      <c r="E506" s="146" t="s">
        <v>26</v>
      </c>
      <c r="F506" s="147"/>
      <c r="G506" s="148"/>
      <c r="H506" s="149">
        <f>ROUNDUP((H503)/200,0)</f>
        <v>5</v>
      </c>
      <c r="I506" s="28" t="s">
        <v>27</v>
      </c>
      <c r="J506" s="135"/>
      <c r="K506" s="136"/>
      <c r="L506" s="137"/>
    </row>
    <row r="507" spans="1:12" s="121" customFormat="1" x14ac:dyDescent="0.2">
      <c r="A507" s="72" t="str">
        <f>IF(F507&lt;&gt;"",1+MAX($A$1:A506),"")</f>
        <v/>
      </c>
      <c r="B507" s="30"/>
      <c r="C507" s="220"/>
      <c r="D507" s="145"/>
      <c r="E507" s="146" t="s">
        <v>28</v>
      </c>
      <c r="F507" s="147"/>
      <c r="G507" s="148"/>
      <c r="H507" s="149">
        <f>ROUNDUP((H503)*5.25/1000,0)</f>
        <v>5</v>
      </c>
      <c r="I507" s="28" t="s">
        <v>29</v>
      </c>
      <c r="J507" s="135"/>
      <c r="K507" s="136"/>
      <c r="L507" s="137"/>
    </row>
    <row r="508" spans="1:12" s="121" customFormat="1" x14ac:dyDescent="0.2">
      <c r="A508" s="72">
        <f>IF(F508&lt;&gt;"",1+MAX($A$1:A507),"")</f>
        <v>301</v>
      </c>
      <c r="B508" s="2" t="s">
        <v>88</v>
      </c>
      <c r="C508" s="200" t="s">
        <v>95</v>
      </c>
      <c r="D508" s="145"/>
      <c r="E508" s="143" t="s">
        <v>94</v>
      </c>
      <c r="F508" s="13">
        <f>54.3*2</f>
        <v>108.6</v>
      </c>
      <c r="G508" s="74">
        <v>0.1</v>
      </c>
      <c r="H508" s="27">
        <f t="shared" ref="H508:H509" si="143">F508*(1+G508)</f>
        <v>119.46000000000001</v>
      </c>
      <c r="I508" s="28" t="s">
        <v>13</v>
      </c>
      <c r="J508" s="135">
        <f>J$490</f>
        <v>0</v>
      </c>
      <c r="K508" s="136">
        <f t="shared" ref="K508:K509" si="144">J508*H508</f>
        <v>0</v>
      </c>
      <c r="L508" s="137"/>
    </row>
    <row r="509" spans="1:12" s="121" customFormat="1" x14ac:dyDescent="0.2">
      <c r="A509" s="72">
        <f>IF(F509&lt;&gt;"",1+MAX($A$1:A508),"")</f>
        <v>302</v>
      </c>
      <c r="B509" s="2" t="s">
        <v>88</v>
      </c>
      <c r="C509" s="200" t="s">
        <v>95</v>
      </c>
      <c r="D509" s="468"/>
      <c r="E509" s="143" t="s">
        <v>125</v>
      </c>
      <c r="F509" s="13">
        <f t="shared" ref="F509" si="145">54.3*14.25</f>
        <v>773.77499999999998</v>
      </c>
      <c r="G509" s="74">
        <v>0.1</v>
      </c>
      <c r="H509" s="27">
        <f t="shared" si="143"/>
        <v>851.15250000000003</v>
      </c>
      <c r="I509" s="28" t="s">
        <v>16</v>
      </c>
      <c r="J509" s="144">
        <v>0</v>
      </c>
      <c r="K509" s="136">
        <f t="shared" si="144"/>
        <v>0</v>
      </c>
      <c r="L509" s="137"/>
    </row>
    <row r="510" spans="1:12" s="121" customFormat="1" x14ac:dyDescent="0.2">
      <c r="A510" s="72" t="str">
        <f>IF(F510&lt;&gt;"",1+MAX($A$1:A509),"")</f>
        <v/>
      </c>
      <c r="B510" s="2"/>
      <c r="C510" s="244"/>
      <c r="D510" s="145"/>
      <c r="E510" s="146"/>
      <c r="F510" s="147"/>
      <c r="G510" s="148"/>
      <c r="H510" s="27"/>
      <c r="I510" s="28"/>
      <c r="J510" s="135"/>
      <c r="K510" s="136"/>
      <c r="L510" s="137"/>
    </row>
    <row r="511" spans="1:12" s="121" customFormat="1" x14ac:dyDescent="0.2">
      <c r="A511" s="72" t="str">
        <f>IF(F511&lt;&gt;"",1+MAX($A$1:A510),"")</f>
        <v/>
      </c>
      <c r="B511" s="138"/>
      <c r="C511" s="219"/>
      <c r="D511" s="133"/>
      <c r="E511" s="139" t="s">
        <v>126</v>
      </c>
      <c r="F511" s="134"/>
      <c r="G511" s="20"/>
      <c r="H511" s="140"/>
      <c r="I511" s="4"/>
      <c r="J511" s="141"/>
      <c r="K511" s="142"/>
      <c r="L511" s="137"/>
    </row>
    <row r="512" spans="1:12" s="121" customFormat="1" x14ac:dyDescent="0.2">
      <c r="A512" s="72">
        <f>IF(F512&lt;&gt;"",1+MAX($A$1:A511),"")</f>
        <v>303</v>
      </c>
      <c r="B512" s="2" t="s">
        <v>88</v>
      </c>
      <c r="C512" s="200" t="s">
        <v>95</v>
      </c>
      <c r="D512" s="225"/>
      <c r="E512" s="143" t="s">
        <v>104</v>
      </c>
      <c r="F512" s="13">
        <f>277.3*17</f>
        <v>4714.1000000000004</v>
      </c>
      <c r="G512" s="74">
        <v>0.1</v>
      </c>
      <c r="H512" s="27">
        <f>F512*(1+G512)</f>
        <v>5185.5100000000011</v>
      </c>
      <c r="I512" s="28" t="s">
        <v>16</v>
      </c>
      <c r="J512" s="144">
        <v>0</v>
      </c>
      <c r="K512" s="136">
        <f>J512*H512</f>
        <v>0</v>
      </c>
      <c r="L512" s="137"/>
    </row>
    <row r="513" spans="1:12" s="121" customFormat="1" x14ac:dyDescent="0.2">
      <c r="A513" s="72" t="str">
        <f>IF(F513&lt;&gt;"",1+MAX($A$1:A512),"")</f>
        <v/>
      </c>
      <c r="B513" s="30"/>
      <c r="C513" s="220"/>
      <c r="D513" s="145"/>
      <c r="E513" s="146" t="s">
        <v>22</v>
      </c>
      <c r="F513" s="147"/>
      <c r="G513" s="148"/>
      <c r="H513" s="27">
        <f>ROUNDUP((H512)/32,0)</f>
        <v>163</v>
      </c>
      <c r="I513" s="28" t="s">
        <v>23</v>
      </c>
      <c r="J513" s="135"/>
      <c r="K513" s="136"/>
      <c r="L513" s="137"/>
    </row>
    <row r="514" spans="1:12" s="121" customFormat="1" x14ac:dyDescent="0.2">
      <c r="A514" s="72" t="str">
        <f>IF(F514&lt;&gt;"",1+MAX($A$1:A513),"")</f>
        <v/>
      </c>
      <c r="B514" s="30"/>
      <c r="C514" s="220"/>
      <c r="D514" s="145"/>
      <c r="E514" s="146" t="s">
        <v>24</v>
      </c>
      <c r="F514" s="147"/>
      <c r="G514" s="148"/>
      <c r="H514" s="27">
        <f>ROUNDUP(H513*24/500,0)</f>
        <v>8</v>
      </c>
      <c r="I514" s="28" t="s">
        <v>25</v>
      </c>
      <c r="J514" s="135"/>
      <c r="K514" s="136"/>
      <c r="L514" s="137"/>
    </row>
    <row r="515" spans="1:12" s="121" customFormat="1" x14ac:dyDescent="0.2">
      <c r="A515" s="72" t="str">
        <f>IF(F515&lt;&gt;"",1+MAX($A$1:A514),"")</f>
        <v/>
      </c>
      <c r="B515" s="30"/>
      <c r="C515" s="220"/>
      <c r="D515" s="145"/>
      <c r="E515" s="146" t="s">
        <v>26</v>
      </c>
      <c r="F515" s="147"/>
      <c r="G515" s="148"/>
      <c r="H515" s="149">
        <f>ROUNDUP((H512)/200,0)</f>
        <v>26</v>
      </c>
      <c r="I515" s="28" t="s">
        <v>27</v>
      </c>
      <c r="J515" s="135"/>
      <c r="K515" s="136"/>
      <c r="L515" s="137"/>
    </row>
    <row r="516" spans="1:12" s="121" customFormat="1" x14ac:dyDescent="0.2">
      <c r="A516" s="72" t="str">
        <f>IF(F516&lt;&gt;"",1+MAX($A$1:A515),"")</f>
        <v/>
      </c>
      <c r="B516" s="30"/>
      <c r="C516" s="220"/>
      <c r="D516" s="145"/>
      <c r="E516" s="146" t="s">
        <v>28</v>
      </c>
      <c r="F516" s="147"/>
      <c r="G516" s="148"/>
      <c r="H516" s="149">
        <f>ROUNDUP((H512)*5.25/1000,0)</f>
        <v>28</v>
      </c>
      <c r="I516" s="28" t="s">
        <v>29</v>
      </c>
      <c r="J516" s="135"/>
      <c r="K516" s="136"/>
      <c r="L516" s="137"/>
    </row>
    <row r="517" spans="1:12" s="121" customFormat="1" x14ac:dyDescent="0.2">
      <c r="A517" s="72">
        <f>IF(F517&lt;&gt;"",1+MAX($A$1:A516),"")</f>
        <v>304</v>
      </c>
      <c r="B517" s="2" t="s">
        <v>88</v>
      </c>
      <c r="C517" s="200" t="s">
        <v>95</v>
      </c>
      <c r="D517" s="145"/>
      <c r="E517" s="143" t="s">
        <v>94</v>
      </c>
      <c r="F517" s="13">
        <f>277.3*2</f>
        <v>554.6</v>
      </c>
      <c r="G517" s="74">
        <v>0.1</v>
      </c>
      <c r="H517" s="27">
        <f t="shared" ref="H517:H518" si="146">F517*(1+G517)</f>
        <v>610.06000000000006</v>
      </c>
      <c r="I517" s="28" t="s">
        <v>13</v>
      </c>
      <c r="J517" s="135">
        <f>J$490</f>
        <v>0</v>
      </c>
      <c r="K517" s="136">
        <f t="shared" ref="K517:K518" si="147">J517*H517</f>
        <v>0</v>
      </c>
      <c r="L517" s="137"/>
    </row>
    <row r="518" spans="1:12" s="121" customFormat="1" x14ac:dyDescent="0.2">
      <c r="A518" s="72">
        <f>IF(F518&lt;&gt;"",1+MAX($A$1:A517),"")</f>
        <v>305</v>
      </c>
      <c r="B518" s="2" t="s">
        <v>88</v>
      </c>
      <c r="C518" s="200" t="s">
        <v>95</v>
      </c>
      <c r="D518" s="468"/>
      <c r="E518" s="143" t="s">
        <v>127</v>
      </c>
      <c r="F518" s="13">
        <f>277.3*17</f>
        <v>4714.1000000000004</v>
      </c>
      <c r="G518" s="74">
        <v>0.1</v>
      </c>
      <c r="H518" s="27">
        <f t="shared" si="146"/>
        <v>5185.5100000000011</v>
      </c>
      <c r="I518" s="28" t="s">
        <v>16</v>
      </c>
      <c r="J518" s="144">
        <v>0</v>
      </c>
      <c r="K518" s="136">
        <f t="shared" si="147"/>
        <v>0</v>
      </c>
      <c r="L518" s="137"/>
    </row>
    <row r="519" spans="1:12" s="121" customFormat="1" ht="16.5" thickBot="1" x14ac:dyDescent="0.25">
      <c r="A519" s="72" t="str">
        <f>IF(F519&lt;&gt;"",1+MAX($A$1:A518),"")</f>
        <v/>
      </c>
      <c r="B519" s="2"/>
      <c r="C519" s="244"/>
      <c r="D519" s="145"/>
      <c r="E519" s="146"/>
      <c r="F519" s="147"/>
      <c r="G519" s="148"/>
      <c r="H519" s="27"/>
      <c r="I519" s="28"/>
      <c r="J519" s="135"/>
      <c r="K519" s="136"/>
      <c r="L519" s="137"/>
    </row>
    <row r="520" spans="1:12" s="121" customFormat="1" ht="16.5" thickBot="1" x14ac:dyDescent="0.25">
      <c r="A520" s="72" t="str">
        <f>IF(F520&lt;&gt;"",1+MAX($A$1:A519),"")</f>
        <v/>
      </c>
      <c r="B520" s="2"/>
      <c r="C520" s="244"/>
      <c r="D520" s="247"/>
      <c r="E520" s="249" t="s">
        <v>141</v>
      </c>
      <c r="F520" s="248"/>
      <c r="G520" s="20"/>
      <c r="H520" s="140"/>
      <c r="I520" s="4"/>
      <c r="J520" s="141"/>
      <c r="K520" s="142"/>
      <c r="L520" s="137"/>
    </row>
    <row r="521" spans="1:12" s="121" customFormat="1" x14ac:dyDescent="0.2">
      <c r="A521" s="72" t="str">
        <f>IF(F521&lt;&gt;"",1+MAX($A$1:A520),"")</f>
        <v/>
      </c>
      <c r="B521" s="138"/>
      <c r="C521" s="219"/>
      <c r="D521" s="133"/>
      <c r="E521" s="139" t="s">
        <v>92</v>
      </c>
      <c r="F521" s="134"/>
      <c r="G521" s="20"/>
      <c r="H521" s="140"/>
      <c r="I521" s="4"/>
      <c r="J521" s="141"/>
      <c r="K521" s="142"/>
      <c r="L521" s="137"/>
    </row>
    <row r="522" spans="1:12" s="121" customFormat="1" x14ac:dyDescent="0.2">
      <c r="A522" s="72">
        <f>IF(F522&lt;&gt;"",1+MAX($A$1:A521),"")</f>
        <v>306</v>
      </c>
      <c r="B522" s="2" t="s">
        <v>88</v>
      </c>
      <c r="C522" s="200" t="s">
        <v>95</v>
      </c>
      <c r="D522" s="225"/>
      <c r="E522" s="143" t="s">
        <v>91</v>
      </c>
      <c r="F522" s="13">
        <f>239*10*2+123*10</f>
        <v>6010</v>
      </c>
      <c r="G522" s="74">
        <v>0.1</v>
      </c>
      <c r="H522" s="27">
        <f>F522*(1+G522)</f>
        <v>6611.0000000000009</v>
      </c>
      <c r="I522" s="28" t="s">
        <v>16</v>
      </c>
      <c r="J522" s="135">
        <f>J$485</f>
        <v>0</v>
      </c>
      <c r="K522" s="136">
        <f>J522*H522</f>
        <v>0</v>
      </c>
      <c r="L522" s="137"/>
    </row>
    <row r="523" spans="1:12" s="121" customFormat="1" x14ac:dyDescent="0.2">
      <c r="A523" s="72">
        <f>IF(F523&lt;&gt;"",1+MAX($A$1:A522),"")</f>
        <v>307</v>
      </c>
      <c r="B523" s="2" t="s">
        <v>88</v>
      </c>
      <c r="C523" s="200" t="s">
        <v>95</v>
      </c>
      <c r="D523" s="225"/>
      <c r="E523" s="143" t="s">
        <v>93</v>
      </c>
      <c r="F523" s="13">
        <f>123*10</f>
        <v>1230</v>
      </c>
      <c r="G523" s="74">
        <v>0.1</v>
      </c>
      <c r="H523" s="27">
        <f>F523*(1+G523)</f>
        <v>1353</v>
      </c>
      <c r="I523" s="28" t="s">
        <v>16</v>
      </c>
      <c r="J523" s="144">
        <v>0</v>
      </c>
      <c r="K523" s="136">
        <f>J523*H523</f>
        <v>0</v>
      </c>
      <c r="L523" s="137"/>
    </row>
    <row r="524" spans="1:12" s="121" customFormat="1" x14ac:dyDescent="0.2">
      <c r="A524" s="72" t="str">
        <f>IF(F524&lt;&gt;"",1+MAX($A$1:A523),"")</f>
        <v/>
      </c>
      <c r="B524" s="30"/>
      <c r="C524" s="220"/>
      <c r="D524" s="145"/>
      <c r="E524" s="146" t="s">
        <v>22</v>
      </c>
      <c r="F524" s="147"/>
      <c r="G524" s="148"/>
      <c r="H524" s="27">
        <f>ROUNDUP((H523+H522)/32,0)</f>
        <v>249</v>
      </c>
      <c r="I524" s="28" t="s">
        <v>23</v>
      </c>
      <c r="J524" s="135"/>
      <c r="K524" s="136"/>
      <c r="L524" s="137"/>
    </row>
    <row r="525" spans="1:12" s="121" customFormat="1" x14ac:dyDescent="0.2">
      <c r="A525" s="72" t="str">
        <f>IF(F525&lt;&gt;"",1+MAX($A$1:A524),"")</f>
        <v/>
      </c>
      <c r="B525" s="30"/>
      <c r="C525" s="220"/>
      <c r="D525" s="145"/>
      <c r="E525" s="146" t="s">
        <v>24</v>
      </c>
      <c r="F525" s="147"/>
      <c r="G525" s="148"/>
      <c r="H525" s="27">
        <f>ROUNDUP(H524*24/500,0)</f>
        <v>12</v>
      </c>
      <c r="I525" s="28" t="s">
        <v>25</v>
      </c>
      <c r="J525" s="135"/>
      <c r="K525" s="136"/>
      <c r="L525" s="137"/>
    </row>
    <row r="526" spans="1:12" s="121" customFormat="1" x14ac:dyDescent="0.2">
      <c r="A526" s="72" t="str">
        <f>IF(F526&lt;&gt;"",1+MAX($A$1:A525),"")</f>
        <v/>
      </c>
      <c r="B526" s="30"/>
      <c r="C526" s="220"/>
      <c r="D526" s="145"/>
      <c r="E526" s="146" t="s">
        <v>26</v>
      </c>
      <c r="F526" s="147"/>
      <c r="G526" s="148"/>
      <c r="H526" s="149">
        <f>ROUNDUP((H523+H522)/200,0)</f>
        <v>40</v>
      </c>
      <c r="I526" s="28" t="s">
        <v>27</v>
      </c>
      <c r="J526" s="135"/>
      <c r="K526" s="136"/>
      <c r="L526" s="137"/>
    </row>
    <row r="527" spans="1:12" s="121" customFormat="1" x14ac:dyDescent="0.2">
      <c r="A527" s="72" t="str">
        <f>IF(F527&lt;&gt;"",1+MAX($A$1:A526),"")</f>
        <v/>
      </c>
      <c r="B527" s="30"/>
      <c r="C527" s="220"/>
      <c r="D527" s="145"/>
      <c r="E527" s="146" t="s">
        <v>28</v>
      </c>
      <c r="F527" s="147"/>
      <c r="G527" s="148"/>
      <c r="H527" s="149">
        <f>ROUNDUP((H523+H522)*5.25/1000,0)</f>
        <v>42</v>
      </c>
      <c r="I527" s="28" t="s">
        <v>29</v>
      </c>
      <c r="J527" s="135"/>
      <c r="K527" s="136"/>
      <c r="L527" s="137"/>
    </row>
    <row r="528" spans="1:12" s="121" customFormat="1" x14ac:dyDescent="0.2">
      <c r="A528" s="72">
        <f>IF(F528&lt;&gt;"",1+MAX($A$1:A527),"")</f>
        <v>308</v>
      </c>
      <c r="B528" s="2" t="s">
        <v>88</v>
      </c>
      <c r="C528" s="200" t="s">
        <v>95</v>
      </c>
      <c r="D528" s="145"/>
      <c r="E528" s="143" t="s">
        <v>94</v>
      </c>
      <c r="F528" s="13">
        <f>362*4</f>
        <v>1448</v>
      </c>
      <c r="G528" s="74">
        <v>0.1</v>
      </c>
      <c r="H528" s="27">
        <f t="shared" ref="H528:H529" si="148">F528*(1+G528)</f>
        <v>1592.8000000000002</v>
      </c>
      <c r="I528" s="28" t="s">
        <v>13</v>
      </c>
      <c r="J528" s="135">
        <f>J$490</f>
        <v>0</v>
      </c>
      <c r="K528" s="136">
        <f t="shared" ref="K528:K529" si="149">J528*H528</f>
        <v>0</v>
      </c>
      <c r="L528" s="137"/>
    </row>
    <row r="529" spans="1:12" s="121" customFormat="1" x14ac:dyDescent="0.2">
      <c r="A529" s="72">
        <f>IF(F529&lt;&gt;"",1+MAX($A$1:A528),"")</f>
        <v>309</v>
      </c>
      <c r="B529" s="2" t="s">
        <v>88</v>
      </c>
      <c r="C529" s="200" t="s">
        <v>95</v>
      </c>
      <c r="D529" s="145"/>
      <c r="E529" s="143" t="s">
        <v>99</v>
      </c>
      <c r="F529" s="13">
        <f>362*10</f>
        <v>3620</v>
      </c>
      <c r="G529" s="74">
        <v>0.1</v>
      </c>
      <c r="H529" s="27">
        <f t="shared" si="148"/>
        <v>3982.0000000000005</v>
      </c>
      <c r="I529" s="28" t="s">
        <v>16</v>
      </c>
      <c r="J529" s="135">
        <f>J$491</f>
        <v>0</v>
      </c>
      <c r="K529" s="136">
        <f t="shared" si="149"/>
        <v>0</v>
      </c>
      <c r="L529" s="137"/>
    </row>
    <row r="530" spans="1:12" s="121" customFormat="1" x14ac:dyDescent="0.2">
      <c r="A530" s="72" t="str">
        <f>IF(F530&lt;&gt;"",1+MAX($A$1:A529),"")</f>
        <v/>
      </c>
      <c r="B530" s="2"/>
      <c r="C530" s="244"/>
      <c r="D530" s="145"/>
      <c r="E530" s="146"/>
      <c r="F530" s="147"/>
      <c r="G530" s="148"/>
      <c r="H530" s="27"/>
      <c r="I530" s="28"/>
      <c r="J530" s="135"/>
      <c r="K530" s="136"/>
      <c r="L530" s="137"/>
    </row>
    <row r="531" spans="1:12" s="121" customFormat="1" x14ac:dyDescent="0.2">
      <c r="A531" s="72" t="str">
        <f>IF(F531&lt;&gt;"",1+MAX($A$1:A530),"")</f>
        <v/>
      </c>
      <c r="B531" s="138"/>
      <c r="C531" s="219"/>
      <c r="D531" s="133"/>
      <c r="E531" s="139" t="s">
        <v>96</v>
      </c>
      <c r="F531" s="134"/>
      <c r="G531" s="20"/>
      <c r="H531" s="140"/>
      <c r="I531" s="4"/>
      <c r="J531" s="141"/>
      <c r="K531" s="142"/>
      <c r="L531" s="137"/>
    </row>
    <row r="532" spans="1:12" s="121" customFormat="1" x14ac:dyDescent="0.2">
      <c r="A532" s="72">
        <f>IF(F532&lt;&gt;"",1+MAX($A$1:A531),"")</f>
        <v>310</v>
      </c>
      <c r="B532" s="2" t="s">
        <v>88</v>
      </c>
      <c r="C532" s="200" t="s">
        <v>95</v>
      </c>
      <c r="D532" s="225"/>
      <c r="E532" s="143" t="s">
        <v>93</v>
      </c>
      <c r="F532" s="13">
        <f>23.4*10</f>
        <v>234</v>
      </c>
      <c r="G532" s="74">
        <v>0.1</v>
      </c>
      <c r="H532" s="27">
        <f>F532*(1+G532)</f>
        <v>257.40000000000003</v>
      </c>
      <c r="I532" s="28" t="s">
        <v>16</v>
      </c>
      <c r="J532" s="135">
        <f>J$523</f>
        <v>0</v>
      </c>
      <c r="K532" s="136">
        <f>J532*H532</f>
        <v>0</v>
      </c>
      <c r="L532" s="137"/>
    </row>
    <row r="533" spans="1:12" s="121" customFormat="1" x14ac:dyDescent="0.2">
      <c r="A533" s="72" t="str">
        <f>IF(F533&lt;&gt;"",1+MAX($A$1:A532),"")</f>
        <v/>
      </c>
      <c r="B533" s="30"/>
      <c r="C533" s="220"/>
      <c r="D533" s="145"/>
      <c r="E533" s="146" t="s">
        <v>22</v>
      </c>
      <c r="F533" s="147"/>
      <c r="G533" s="148"/>
      <c r="H533" s="27">
        <f>ROUNDUP((H532)/32,0)</f>
        <v>9</v>
      </c>
      <c r="I533" s="28" t="s">
        <v>23</v>
      </c>
      <c r="J533" s="135"/>
      <c r="K533" s="136"/>
      <c r="L533" s="137"/>
    </row>
    <row r="534" spans="1:12" s="121" customFormat="1" x14ac:dyDescent="0.2">
      <c r="A534" s="72" t="str">
        <f>IF(F534&lt;&gt;"",1+MAX($A$1:A533),"")</f>
        <v/>
      </c>
      <c r="B534" s="30"/>
      <c r="C534" s="220"/>
      <c r="D534" s="145"/>
      <c r="E534" s="146" t="s">
        <v>24</v>
      </c>
      <c r="F534" s="147"/>
      <c r="G534" s="148"/>
      <c r="H534" s="27">
        <f>ROUNDUP(H533*24/500,0)</f>
        <v>1</v>
      </c>
      <c r="I534" s="28" t="s">
        <v>25</v>
      </c>
      <c r="J534" s="135"/>
      <c r="K534" s="136"/>
      <c r="L534" s="137"/>
    </row>
    <row r="535" spans="1:12" s="121" customFormat="1" x14ac:dyDescent="0.2">
      <c r="A535" s="72" t="str">
        <f>IF(F535&lt;&gt;"",1+MAX($A$1:A534),"")</f>
        <v/>
      </c>
      <c r="B535" s="30"/>
      <c r="C535" s="220"/>
      <c r="D535" s="145"/>
      <c r="E535" s="146" t="s">
        <v>26</v>
      </c>
      <c r="F535" s="147"/>
      <c r="G535" s="148"/>
      <c r="H535" s="149">
        <f>ROUNDUP((H532)/200,0)</f>
        <v>2</v>
      </c>
      <c r="I535" s="28" t="s">
        <v>27</v>
      </c>
      <c r="J535" s="135"/>
      <c r="K535" s="136"/>
      <c r="L535" s="137"/>
    </row>
    <row r="536" spans="1:12" s="121" customFormat="1" x14ac:dyDescent="0.2">
      <c r="A536" s="72" t="str">
        <f>IF(F536&lt;&gt;"",1+MAX($A$1:A535),"")</f>
        <v/>
      </c>
      <c r="B536" s="30"/>
      <c r="C536" s="220"/>
      <c r="D536" s="145"/>
      <c r="E536" s="146" t="s">
        <v>28</v>
      </c>
      <c r="F536" s="147"/>
      <c r="G536" s="148"/>
      <c r="H536" s="149">
        <f>ROUNDUP((H532)*5.25/1000,0)</f>
        <v>2</v>
      </c>
      <c r="I536" s="28" t="s">
        <v>29</v>
      </c>
      <c r="J536" s="135"/>
      <c r="K536" s="136"/>
      <c r="L536" s="137"/>
    </row>
    <row r="537" spans="1:12" s="121" customFormat="1" x14ac:dyDescent="0.2">
      <c r="A537" s="72">
        <f>IF(F537&lt;&gt;"",1+MAX($A$1:A536),"")</f>
        <v>311</v>
      </c>
      <c r="B537" s="2" t="s">
        <v>88</v>
      </c>
      <c r="C537" s="200" t="s">
        <v>95</v>
      </c>
      <c r="D537" s="145"/>
      <c r="E537" s="143" t="s">
        <v>94</v>
      </c>
      <c r="F537" s="13">
        <f>23.4*2</f>
        <v>46.8</v>
      </c>
      <c r="G537" s="74">
        <v>0.1</v>
      </c>
      <c r="H537" s="27">
        <f t="shared" ref="H537:H538" si="150">F537*(1+G537)</f>
        <v>51.480000000000004</v>
      </c>
      <c r="I537" s="28" t="s">
        <v>13</v>
      </c>
      <c r="J537" s="135">
        <f>J$490</f>
        <v>0</v>
      </c>
      <c r="K537" s="136">
        <f t="shared" ref="K537:K538" si="151">J537*H537</f>
        <v>0</v>
      </c>
      <c r="L537" s="137"/>
    </row>
    <row r="538" spans="1:12" s="121" customFormat="1" x14ac:dyDescent="0.2">
      <c r="A538" s="72">
        <f>IF(F538&lt;&gt;"",1+MAX($A$1:A537),"")</f>
        <v>312</v>
      </c>
      <c r="B538" s="2" t="s">
        <v>88</v>
      </c>
      <c r="C538" s="200" t="s">
        <v>95</v>
      </c>
      <c r="D538" s="145"/>
      <c r="E538" s="143" t="s">
        <v>99</v>
      </c>
      <c r="F538" s="13">
        <f>23.4*10</f>
        <v>234</v>
      </c>
      <c r="G538" s="74">
        <v>0.1</v>
      </c>
      <c r="H538" s="27">
        <f t="shared" si="150"/>
        <v>257.40000000000003</v>
      </c>
      <c r="I538" s="28" t="s">
        <v>16</v>
      </c>
      <c r="J538" s="135">
        <f>J$491</f>
        <v>0</v>
      </c>
      <c r="K538" s="136">
        <f t="shared" si="151"/>
        <v>0</v>
      </c>
      <c r="L538" s="137"/>
    </row>
    <row r="539" spans="1:12" s="121" customFormat="1" x14ac:dyDescent="0.2">
      <c r="A539" s="72" t="str">
        <f>IF(F539&lt;&gt;"",1+MAX($A$1:A538),"")</f>
        <v/>
      </c>
      <c r="B539" s="2"/>
      <c r="C539" s="244"/>
      <c r="D539" s="145"/>
      <c r="E539" s="146"/>
      <c r="F539" s="147"/>
      <c r="G539" s="148"/>
      <c r="H539" s="27"/>
      <c r="I539" s="28"/>
      <c r="J539" s="135"/>
      <c r="K539" s="136"/>
      <c r="L539" s="137"/>
    </row>
    <row r="540" spans="1:12" s="121" customFormat="1" x14ac:dyDescent="0.2">
      <c r="A540" s="72" t="str">
        <f>IF(F540&lt;&gt;"",1+MAX($A$1:A539),"")</f>
        <v/>
      </c>
      <c r="B540" s="138"/>
      <c r="C540" s="219"/>
      <c r="D540" s="133"/>
      <c r="E540" s="139" t="s">
        <v>98</v>
      </c>
      <c r="F540" s="134"/>
      <c r="G540" s="20"/>
      <c r="H540" s="140"/>
      <c r="I540" s="4"/>
      <c r="J540" s="141"/>
      <c r="K540" s="142"/>
      <c r="L540" s="137"/>
    </row>
    <row r="541" spans="1:12" s="121" customFormat="1" x14ac:dyDescent="0.2">
      <c r="A541" s="72">
        <f>IF(F541&lt;&gt;"",1+MAX($A$1:A540),"")</f>
        <v>313</v>
      </c>
      <c r="B541" s="2" t="s">
        <v>88</v>
      </c>
      <c r="C541" s="200" t="s">
        <v>95</v>
      </c>
      <c r="D541" s="225"/>
      <c r="E541" s="143" t="s">
        <v>91</v>
      </c>
      <c r="F541" s="13">
        <f>8.9*10*2+11.4*10</f>
        <v>292</v>
      </c>
      <c r="G541" s="74">
        <v>0.1</v>
      </c>
      <c r="H541" s="27">
        <f>F541*(1+G541)</f>
        <v>321.20000000000005</v>
      </c>
      <c r="I541" s="28" t="s">
        <v>16</v>
      </c>
      <c r="J541" s="135">
        <f>J$485</f>
        <v>0</v>
      </c>
      <c r="K541" s="136">
        <f>J541*H541</f>
        <v>0</v>
      </c>
      <c r="L541" s="137"/>
    </row>
    <row r="542" spans="1:12" s="121" customFormat="1" x14ac:dyDescent="0.2">
      <c r="A542" s="72">
        <f>IF(F542&lt;&gt;"",1+MAX($A$1:A541),"")</f>
        <v>314</v>
      </c>
      <c r="B542" s="2" t="s">
        <v>88</v>
      </c>
      <c r="C542" s="200" t="s">
        <v>95</v>
      </c>
      <c r="D542" s="225"/>
      <c r="E542" s="143" t="s">
        <v>93</v>
      </c>
      <c r="F542" s="13">
        <f>7.1*10*2+11.4*10</f>
        <v>256</v>
      </c>
      <c r="G542" s="74">
        <v>0.1</v>
      </c>
      <c r="H542" s="27">
        <f>F542*(1+G542)</f>
        <v>281.60000000000002</v>
      </c>
      <c r="I542" s="28" t="s">
        <v>16</v>
      </c>
      <c r="J542" s="135">
        <f>J$523</f>
        <v>0</v>
      </c>
      <c r="K542" s="136">
        <f>J542*H542</f>
        <v>0</v>
      </c>
      <c r="L542" s="137"/>
    </row>
    <row r="543" spans="1:12" s="121" customFormat="1" x14ac:dyDescent="0.2">
      <c r="A543" s="72" t="str">
        <f>IF(F543&lt;&gt;"",1+MAX($A$1:A542),"")</f>
        <v/>
      </c>
      <c r="B543" s="30"/>
      <c r="C543" s="220"/>
      <c r="D543" s="145"/>
      <c r="E543" s="146" t="s">
        <v>22</v>
      </c>
      <c r="F543" s="147"/>
      <c r="G543" s="148"/>
      <c r="H543" s="27">
        <f>ROUNDUP((H542+H541)/32,0)</f>
        <v>19</v>
      </c>
      <c r="I543" s="28" t="s">
        <v>23</v>
      </c>
      <c r="J543" s="135"/>
      <c r="K543" s="136"/>
      <c r="L543" s="137"/>
    </row>
    <row r="544" spans="1:12" s="121" customFormat="1" x14ac:dyDescent="0.2">
      <c r="A544" s="72" t="str">
        <f>IF(F544&lt;&gt;"",1+MAX($A$1:A543),"")</f>
        <v/>
      </c>
      <c r="B544" s="30"/>
      <c r="C544" s="220"/>
      <c r="D544" s="145"/>
      <c r="E544" s="146" t="s">
        <v>24</v>
      </c>
      <c r="F544" s="147"/>
      <c r="G544" s="148"/>
      <c r="H544" s="27">
        <f>ROUNDUP(H543*24/500,0)</f>
        <v>1</v>
      </c>
      <c r="I544" s="28" t="s">
        <v>25</v>
      </c>
      <c r="J544" s="135"/>
      <c r="K544" s="136"/>
      <c r="L544" s="137"/>
    </row>
    <row r="545" spans="1:12" s="121" customFormat="1" x14ac:dyDescent="0.2">
      <c r="A545" s="72" t="str">
        <f>IF(F545&lt;&gt;"",1+MAX($A$1:A544),"")</f>
        <v/>
      </c>
      <c r="B545" s="30"/>
      <c r="C545" s="220"/>
      <c r="D545" s="145"/>
      <c r="E545" s="146" t="s">
        <v>26</v>
      </c>
      <c r="F545" s="147"/>
      <c r="G545" s="148"/>
      <c r="H545" s="149">
        <f>ROUNDUP((H542+H541)/200,0)</f>
        <v>4</v>
      </c>
      <c r="I545" s="28" t="s">
        <v>27</v>
      </c>
      <c r="J545" s="135"/>
      <c r="K545" s="136"/>
      <c r="L545" s="137"/>
    </row>
    <row r="546" spans="1:12" s="121" customFormat="1" x14ac:dyDescent="0.2">
      <c r="A546" s="72" t="str">
        <f>IF(F546&lt;&gt;"",1+MAX($A$1:A545),"")</f>
        <v/>
      </c>
      <c r="B546" s="30"/>
      <c r="C546" s="220"/>
      <c r="D546" s="145"/>
      <c r="E546" s="146" t="s">
        <v>28</v>
      </c>
      <c r="F546" s="147"/>
      <c r="G546" s="148"/>
      <c r="H546" s="149">
        <f>ROUNDUP((H542+H541)*5.25/1000,0)</f>
        <v>4</v>
      </c>
      <c r="I546" s="28" t="s">
        <v>29</v>
      </c>
      <c r="J546" s="135"/>
      <c r="K546" s="136"/>
      <c r="L546" s="137"/>
    </row>
    <row r="547" spans="1:12" s="121" customFormat="1" x14ac:dyDescent="0.2">
      <c r="A547" s="72">
        <f>IF(F547&lt;&gt;"",1+MAX($A$1:A546),"")</f>
        <v>315</v>
      </c>
      <c r="B547" s="2" t="s">
        <v>88</v>
      </c>
      <c r="C547" s="200" t="s">
        <v>95</v>
      </c>
      <c r="D547" s="145"/>
      <c r="E547" s="143" t="s">
        <v>94</v>
      </c>
      <c r="F547" s="13">
        <f>27.4*4</f>
        <v>109.6</v>
      </c>
      <c r="G547" s="74">
        <v>0.1</v>
      </c>
      <c r="H547" s="27">
        <f t="shared" ref="H547:H548" si="152">F547*(1+G547)</f>
        <v>120.56</v>
      </c>
      <c r="I547" s="28" t="s">
        <v>13</v>
      </c>
      <c r="J547" s="135">
        <f>J$490</f>
        <v>0</v>
      </c>
      <c r="K547" s="136">
        <f t="shared" ref="K547:K548" si="153">J547*H547</f>
        <v>0</v>
      </c>
      <c r="L547" s="137"/>
    </row>
    <row r="548" spans="1:12" s="121" customFormat="1" x14ac:dyDescent="0.2">
      <c r="A548" s="72">
        <f>IF(F548&lt;&gt;"",1+MAX($A$1:A547),"")</f>
        <v>316</v>
      </c>
      <c r="B548" s="2" t="s">
        <v>88</v>
      </c>
      <c r="C548" s="200" t="s">
        <v>95</v>
      </c>
      <c r="D548" s="145"/>
      <c r="E548" s="143" t="s">
        <v>100</v>
      </c>
      <c r="F548" s="13">
        <f>27.4*10</f>
        <v>274</v>
      </c>
      <c r="G548" s="74">
        <v>0.1</v>
      </c>
      <c r="H548" s="27">
        <f t="shared" si="152"/>
        <v>301.40000000000003</v>
      </c>
      <c r="I548" s="28" t="s">
        <v>16</v>
      </c>
      <c r="J548" s="144">
        <v>0</v>
      </c>
      <c r="K548" s="136">
        <f t="shared" si="153"/>
        <v>0</v>
      </c>
      <c r="L548" s="137"/>
    </row>
    <row r="549" spans="1:12" s="121" customFormat="1" x14ac:dyDescent="0.2">
      <c r="A549" s="72" t="str">
        <f>IF(F549&lt;&gt;"",1+MAX($A$1:A548),"")</f>
        <v/>
      </c>
      <c r="B549" s="2"/>
      <c r="C549" s="244"/>
      <c r="D549" s="145"/>
      <c r="E549" s="146"/>
      <c r="F549" s="147"/>
      <c r="G549" s="148"/>
      <c r="H549" s="27"/>
      <c r="I549" s="28"/>
      <c r="J549" s="135"/>
      <c r="K549" s="136"/>
      <c r="L549" s="137"/>
    </row>
    <row r="550" spans="1:12" s="121" customFormat="1" x14ac:dyDescent="0.2">
      <c r="A550" s="72" t="str">
        <f>IF(F550&lt;&gt;"",1+MAX($A$1:A549),"")</f>
        <v/>
      </c>
      <c r="B550" s="138"/>
      <c r="C550" s="219"/>
      <c r="D550" s="133"/>
      <c r="E550" s="139" t="s">
        <v>105</v>
      </c>
      <c r="F550" s="134"/>
      <c r="G550" s="20"/>
      <c r="H550" s="140"/>
      <c r="I550" s="4"/>
      <c r="J550" s="141"/>
      <c r="K550" s="142"/>
      <c r="L550" s="137"/>
    </row>
    <row r="551" spans="1:12" s="121" customFormat="1" x14ac:dyDescent="0.2">
      <c r="A551" s="72">
        <f>IF(F551&lt;&gt;"",1+MAX($A$1:A550),"")</f>
        <v>317</v>
      </c>
      <c r="B551" s="2" t="s">
        <v>88</v>
      </c>
      <c r="C551" s="200" t="s">
        <v>95</v>
      </c>
      <c r="D551" s="225"/>
      <c r="E551" s="143" t="s">
        <v>91</v>
      </c>
      <c r="F551" s="13">
        <f>14.3*10</f>
        <v>143</v>
      </c>
      <c r="G551" s="74">
        <v>0.1</v>
      </c>
      <c r="H551" s="27">
        <f>F551*(1+G551)</f>
        <v>157.30000000000001</v>
      </c>
      <c r="I551" s="28" t="s">
        <v>16</v>
      </c>
      <c r="J551" s="135">
        <f>J$485</f>
        <v>0</v>
      </c>
      <c r="K551" s="136">
        <f>J551*H551</f>
        <v>0</v>
      </c>
      <c r="L551" s="137"/>
    </row>
    <row r="552" spans="1:12" s="121" customFormat="1" x14ac:dyDescent="0.2">
      <c r="A552" s="72">
        <f>IF(F552&lt;&gt;"",1+MAX($A$1:A551),"")</f>
        <v>318</v>
      </c>
      <c r="B552" s="2" t="s">
        <v>88</v>
      </c>
      <c r="C552" s="200" t="s">
        <v>95</v>
      </c>
      <c r="D552" s="225"/>
      <c r="E552" s="143" t="s">
        <v>93</v>
      </c>
      <c r="F552" s="13">
        <f>14.3*10</f>
        <v>143</v>
      </c>
      <c r="G552" s="74">
        <v>0.1</v>
      </c>
      <c r="H552" s="27">
        <f>F552*(1+G552)</f>
        <v>157.30000000000001</v>
      </c>
      <c r="I552" s="28" t="s">
        <v>16</v>
      </c>
      <c r="J552" s="135">
        <f>J$523</f>
        <v>0</v>
      </c>
      <c r="K552" s="136">
        <f>J552*H552</f>
        <v>0</v>
      </c>
      <c r="L552" s="137"/>
    </row>
    <row r="553" spans="1:12" s="121" customFormat="1" x14ac:dyDescent="0.2">
      <c r="A553" s="72" t="str">
        <f>IF(F553&lt;&gt;"",1+MAX($A$1:A552),"")</f>
        <v/>
      </c>
      <c r="B553" s="30"/>
      <c r="C553" s="220"/>
      <c r="D553" s="145"/>
      <c r="E553" s="146" t="s">
        <v>22</v>
      </c>
      <c r="F553" s="147"/>
      <c r="G553" s="148"/>
      <c r="H553" s="27">
        <f>ROUNDUP((H552+H551)/32,0)</f>
        <v>10</v>
      </c>
      <c r="I553" s="28" t="s">
        <v>23</v>
      </c>
      <c r="J553" s="135"/>
      <c r="K553" s="136"/>
      <c r="L553" s="137"/>
    </row>
    <row r="554" spans="1:12" s="121" customFormat="1" x14ac:dyDescent="0.2">
      <c r="A554" s="72" t="str">
        <f>IF(F554&lt;&gt;"",1+MAX($A$1:A553),"")</f>
        <v/>
      </c>
      <c r="B554" s="30"/>
      <c r="C554" s="220"/>
      <c r="D554" s="145"/>
      <c r="E554" s="146" t="s">
        <v>24</v>
      </c>
      <c r="F554" s="147"/>
      <c r="G554" s="148"/>
      <c r="H554" s="27">
        <f>ROUNDUP(H553*24/500,0)</f>
        <v>1</v>
      </c>
      <c r="I554" s="28" t="s">
        <v>25</v>
      </c>
      <c r="J554" s="135"/>
      <c r="K554" s="136"/>
      <c r="L554" s="137"/>
    </row>
    <row r="555" spans="1:12" s="121" customFormat="1" x14ac:dyDescent="0.2">
      <c r="A555" s="72" t="str">
        <f>IF(F555&lt;&gt;"",1+MAX($A$1:A554),"")</f>
        <v/>
      </c>
      <c r="B555" s="30"/>
      <c r="C555" s="220"/>
      <c r="D555" s="145"/>
      <c r="E555" s="146" t="s">
        <v>26</v>
      </c>
      <c r="F555" s="147"/>
      <c r="G555" s="148"/>
      <c r="H555" s="149">
        <f>ROUNDUP((H552+H551)/200,0)</f>
        <v>2</v>
      </c>
      <c r="I555" s="28" t="s">
        <v>27</v>
      </c>
      <c r="J555" s="135"/>
      <c r="K555" s="136"/>
      <c r="L555" s="137"/>
    </row>
    <row r="556" spans="1:12" s="121" customFormat="1" x14ac:dyDescent="0.2">
      <c r="A556" s="72" t="str">
        <f>IF(F556&lt;&gt;"",1+MAX($A$1:A555),"")</f>
        <v/>
      </c>
      <c r="B556" s="30"/>
      <c r="C556" s="220"/>
      <c r="D556" s="145"/>
      <c r="E556" s="146" t="s">
        <v>28</v>
      </c>
      <c r="F556" s="147"/>
      <c r="G556" s="148"/>
      <c r="H556" s="149">
        <f>ROUNDUP((H552+H551)*5.25/1000,0)</f>
        <v>2</v>
      </c>
      <c r="I556" s="28" t="s">
        <v>29</v>
      </c>
      <c r="J556" s="135"/>
      <c r="K556" s="136"/>
      <c r="L556" s="137"/>
    </row>
    <row r="557" spans="1:12" s="121" customFormat="1" x14ac:dyDescent="0.2">
      <c r="A557" s="72">
        <f>IF(F557&lt;&gt;"",1+MAX($A$1:A556),"")</f>
        <v>319</v>
      </c>
      <c r="B557" s="2" t="s">
        <v>88</v>
      </c>
      <c r="C557" s="200" t="s">
        <v>95</v>
      </c>
      <c r="D557" s="145"/>
      <c r="E557" s="143" t="s">
        <v>94</v>
      </c>
      <c r="F557" s="13">
        <f>14.3*4</f>
        <v>57.2</v>
      </c>
      <c r="G557" s="74">
        <v>0.1</v>
      </c>
      <c r="H557" s="27">
        <f t="shared" ref="H557:H558" si="154">F557*(1+G557)</f>
        <v>62.920000000000009</v>
      </c>
      <c r="I557" s="28" t="s">
        <v>13</v>
      </c>
      <c r="J557" s="135">
        <f>J$490</f>
        <v>0</v>
      </c>
      <c r="K557" s="136">
        <f t="shared" ref="K557:K558" si="155">J557*H557</f>
        <v>0</v>
      </c>
      <c r="L557" s="137"/>
    </row>
    <row r="558" spans="1:12" s="121" customFormat="1" x14ac:dyDescent="0.2">
      <c r="A558" s="72">
        <f>IF(F558&lt;&gt;"",1+MAX($A$1:A557),"")</f>
        <v>320</v>
      </c>
      <c r="B558" s="2" t="s">
        <v>88</v>
      </c>
      <c r="C558" s="200" t="s">
        <v>95</v>
      </c>
      <c r="D558" s="145"/>
      <c r="E558" s="143" t="s">
        <v>102</v>
      </c>
      <c r="F558" s="13">
        <f t="shared" ref="F558" si="156">14.3*10</f>
        <v>143</v>
      </c>
      <c r="G558" s="74">
        <v>0.1</v>
      </c>
      <c r="H558" s="27">
        <f t="shared" si="154"/>
        <v>157.30000000000001</v>
      </c>
      <c r="I558" s="28" t="s">
        <v>16</v>
      </c>
      <c r="J558" s="144">
        <v>0</v>
      </c>
      <c r="K558" s="136">
        <f t="shared" si="155"/>
        <v>0</v>
      </c>
      <c r="L558" s="137"/>
    </row>
    <row r="559" spans="1:12" s="121" customFormat="1" x14ac:dyDescent="0.2">
      <c r="A559" s="72" t="str">
        <f>IF(F559&lt;&gt;"",1+MAX($A$1:A558),"")</f>
        <v/>
      </c>
      <c r="B559" s="2"/>
      <c r="C559" s="244"/>
      <c r="D559" s="145"/>
      <c r="E559" s="146"/>
      <c r="F559" s="147"/>
      <c r="G559" s="148"/>
      <c r="H559" s="27"/>
      <c r="I559" s="28"/>
      <c r="J559" s="135"/>
      <c r="K559" s="136"/>
      <c r="L559" s="137"/>
    </row>
    <row r="560" spans="1:12" s="121" customFormat="1" x14ac:dyDescent="0.2">
      <c r="A560" s="72" t="str">
        <f>IF(F560&lt;&gt;"",1+MAX($A$1:A559),"")</f>
        <v/>
      </c>
      <c r="B560" s="138"/>
      <c r="C560" s="219"/>
      <c r="D560" s="133"/>
      <c r="E560" s="139" t="s">
        <v>106</v>
      </c>
      <c r="F560" s="134"/>
      <c r="G560" s="20"/>
      <c r="H560" s="140"/>
      <c r="I560" s="4"/>
      <c r="J560" s="141"/>
      <c r="K560" s="142"/>
      <c r="L560" s="137"/>
    </row>
    <row r="561" spans="1:12" s="121" customFormat="1" x14ac:dyDescent="0.2">
      <c r="A561" s="72">
        <f>IF(F561&lt;&gt;"",1+MAX($A$1:A560),"")</f>
        <v>321</v>
      </c>
      <c r="B561" s="2" t="s">
        <v>88</v>
      </c>
      <c r="C561" s="200" t="s">
        <v>95</v>
      </c>
      <c r="D561" s="225"/>
      <c r="E561" s="143" t="s">
        <v>101</v>
      </c>
      <c r="F561" s="13">
        <f>67*10*2</f>
        <v>1340</v>
      </c>
      <c r="G561" s="74">
        <v>0.1</v>
      </c>
      <c r="H561" s="27">
        <f>F561*(1+G561)</f>
        <v>1474.0000000000002</v>
      </c>
      <c r="I561" s="28" t="s">
        <v>16</v>
      </c>
      <c r="J561" s="135">
        <f>J$512</f>
        <v>0</v>
      </c>
      <c r="K561" s="136">
        <f>J561*H561</f>
        <v>0</v>
      </c>
      <c r="L561" s="137"/>
    </row>
    <row r="562" spans="1:12" s="121" customFormat="1" x14ac:dyDescent="0.2">
      <c r="A562" s="72" t="str">
        <f>IF(F562&lt;&gt;"",1+MAX($A$1:A561),"")</f>
        <v/>
      </c>
      <c r="B562" s="30"/>
      <c r="C562" s="220"/>
      <c r="D562" s="145"/>
      <c r="E562" s="146" t="s">
        <v>22</v>
      </c>
      <c r="F562" s="147"/>
      <c r="G562" s="148"/>
      <c r="H562" s="27">
        <f>ROUNDUP((H561)/32,0)</f>
        <v>47</v>
      </c>
      <c r="I562" s="28" t="s">
        <v>23</v>
      </c>
      <c r="J562" s="135"/>
      <c r="K562" s="136"/>
      <c r="L562" s="137"/>
    </row>
    <row r="563" spans="1:12" s="121" customFormat="1" x14ac:dyDescent="0.2">
      <c r="A563" s="72" t="str">
        <f>IF(F563&lt;&gt;"",1+MAX($A$1:A562),"")</f>
        <v/>
      </c>
      <c r="B563" s="30"/>
      <c r="C563" s="220"/>
      <c r="D563" s="145"/>
      <c r="E563" s="146" t="s">
        <v>24</v>
      </c>
      <c r="F563" s="147"/>
      <c r="G563" s="148"/>
      <c r="H563" s="27">
        <f>ROUNDUP(H562*24/500,0)</f>
        <v>3</v>
      </c>
      <c r="I563" s="28" t="s">
        <v>25</v>
      </c>
      <c r="J563" s="135"/>
      <c r="K563" s="136"/>
      <c r="L563" s="137"/>
    </row>
    <row r="564" spans="1:12" s="121" customFormat="1" x14ac:dyDescent="0.2">
      <c r="A564" s="72" t="str">
        <f>IF(F564&lt;&gt;"",1+MAX($A$1:A563),"")</f>
        <v/>
      </c>
      <c r="B564" s="30"/>
      <c r="C564" s="220"/>
      <c r="D564" s="145"/>
      <c r="E564" s="146" t="s">
        <v>26</v>
      </c>
      <c r="F564" s="147"/>
      <c r="G564" s="148"/>
      <c r="H564" s="149">
        <f>ROUNDUP((H561)/200,0)</f>
        <v>8</v>
      </c>
      <c r="I564" s="28" t="s">
        <v>27</v>
      </c>
      <c r="J564" s="135"/>
      <c r="K564" s="136"/>
      <c r="L564" s="137"/>
    </row>
    <row r="565" spans="1:12" s="121" customFormat="1" x14ac:dyDescent="0.2">
      <c r="A565" s="72" t="str">
        <f>IF(F565&lt;&gt;"",1+MAX($A$1:A564),"")</f>
        <v/>
      </c>
      <c r="B565" s="30"/>
      <c r="C565" s="220"/>
      <c r="D565" s="145"/>
      <c r="E565" s="146" t="s">
        <v>28</v>
      </c>
      <c r="F565" s="147"/>
      <c r="G565" s="148"/>
      <c r="H565" s="149">
        <f>ROUNDUP((H561)*5.25/1000,0)</f>
        <v>8</v>
      </c>
      <c r="I565" s="28" t="s">
        <v>29</v>
      </c>
      <c r="J565" s="135"/>
      <c r="K565" s="136"/>
      <c r="L565" s="137"/>
    </row>
    <row r="566" spans="1:12" s="121" customFormat="1" x14ac:dyDescent="0.2">
      <c r="A566" s="72">
        <f>IF(F566&lt;&gt;"",1+MAX($A$1:A565),"")</f>
        <v>322</v>
      </c>
      <c r="B566" s="2" t="s">
        <v>88</v>
      </c>
      <c r="C566" s="200" t="s">
        <v>95</v>
      </c>
      <c r="D566" s="145"/>
      <c r="E566" s="143" t="s">
        <v>94</v>
      </c>
      <c r="F566" s="13">
        <f>67*4</f>
        <v>268</v>
      </c>
      <c r="G566" s="74">
        <v>0.1</v>
      </c>
      <c r="H566" s="27">
        <f t="shared" ref="H566:H568" si="157">F566*(1+G566)</f>
        <v>294.8</v>
      </c>
      <c r="I566" s="28" t="s">
        <v>13</v>
      </c>
      <c r="J566" s="135">
        <f>J$490</f>
        <v>0</v>
      </c>
      <c r="K566" s="136">
        <f t="shared" ref="K566:K568" si="158">J566*H566</f>
        <v>0</v>
      </c>
      <c r="L566" s="137"/>
    </row>
    <row r="567" spans="1:12" s="121" customFormat="1" x14ac:dyDescent="0.2">
      <c r="A567" s="72">
        <f>IF(F567&lt;&gt;"",1+MAX($A$1:A566),"")</f>
        <v>323</v>
      </c>
      <c r="B567" s="2" t="s">
        <v>88</v>
      </c>
      <c r="C567" s="200" t="s">
        <v>95</v>
      </c>
      <c r="D567" s="145"/>
      <c r="E567" s="143" t="s">
        <v>102</v>
      </c>
      <c r="F567" s="13">
        <f>67*12</f>
        <v>804</v>
      </c>
      <c r="G567" s="74">
        <v>0.1</v>
      </c>
      <c r="H567" s="27">
        <f t="shared" si="157"/>
        <v>884.40000000000009</v>
      </c>
      <c r="I567" s="28" t="s">
        <v>16</v>
      </c>
      <c r="J567" s="135">
        <f>J$558</f>
        <v>0</v>
      </c>
      <c r="K567" s="136">
        <f t="shared" si="158"/>
        <v>0</v>
      </c>
      <c r="L567" s="137"/>
    </row>
    <row r="568" spans="1:12" s="121" customFormat="1" x14ac:dyDescent="0.2">
      <c r="A568" s="72">
        <f>IF(F568&lt;&gt;"",1+MAX($A$1:A567),"")</f>
        <v>324</v>
      </c>
      <c r="B568" s="2" t="s">
        <v>88</v>
      </c>
      <c r="C568" s="200" t="s">
        <v>95</v>
      </c>
      <c r="D568" s="145"/>
      <c r="E568" s="143" t="s">
        <v>103</v>
      </c>
      <c r="F568" s="13">
        <f>67*10</f>
        <v>670</v>
      </c>
      <c r="G568" s="74">
        <v>0.1</v>
      </c>
      <c r="H568" s="27">
        <f t="shared" si="157"/>
        <v>737.00000000000011</v>
      </c>
      <c r="I568" s="28" t="s">
        <v>16</v>
      </c>
      <c r="J568" s="144">
        <v>0</v>
      </c>
      <c r="K568" s="136">
        <f t="shared" si="158"/>
        <v>0</v>
      </c>
      <c r="L568" s="137"/>
    </row>
    <row r="569" spans="1:12" s="121" customFormat="1" x14ac:dyDescent="0.2">
      <c r="A569" s="72" t="str">
        <f>IF(F569&lt;&gt;"",1+MAX($A$1:A568),"")</f>
        <v/>
      </c>
      <c r="B569" s="2"/>
      <c r="C569" s="244"/>
      <c r="D569" s="145"/>
      <c r="E569" s="146"/>
      <c r="F569" s="147"/>
      <c r="G569" s="148"/>
      <c r="H569" s="27"/>
      <c r="I569" s="28"/>
      <c r="J569" s="135"/>
      <c r="K569" s="136"/>
      <c r="L569" s="137"/>
    </row>
    <row r="570" spans="1:12" s="121" customFormat="1" x14ac:dyDescent="0.2">
      <c r="A570" s="72" t="str">
        <f>IF(F570&lt;&gt;"",1+MAX($A$1:A569),"")</f>
        <v/>
      </c>
      <c r="B570" s="138"/>
      <c r="C570" s="219"/>
      <c r="D570" s="133"/>
      <c r="E570" s="139" t="s">
        <v>107</v>
      </c>
      <c r="F570" s="134"/>
      <c r="G570" s="20"/>
      <c r="H570" s="140"/>
      <c r="I570" s="4"/>
      <c r="J570" s="141"/>
      <c r="K570" s="142"/>
      <c r="L570" s="137"/>
    </row>
    <row r="571" spans="1:12" s="121" customFormat="1" x14ac:dyDescent="0.2">
      <c r="A571" s="72">
        <f>IF(F571&lt;&gt;"",1+MAX($A$1:A570),"")</f>
        <v>325</v>
      </c>
      <c r="B571" s="2" t="s">
        <v>88</v>
      </c>
      <c r="C571" s="200" t="s">
        <v>95</v>
      </c>
      <c r="D571" s="225"/>
      <c r="E571" s="143" t="s">
        <v>101</v>
      </c>
      <c r="F571" s="13">
        <f>102.6*10*2</f>
        <v>2052</v>
      </c>
      <c r="G571" s="74">
        <v>0.1</v>
      </c>
      <c r="H571" s="27">
        <f>F571*(1+G571)</f>
        <v>2257.2000000000003</v>
      </c>
      <c r="I571" s="28" t="s">
        <v>16</v>
      </c>
      <c r="J571" s="135">
        <f>J$512</f>
        <v>0</v>
      </c>
      <c r="K571" s="136">
        <f>J571*H571</f>
        <v>0</v>
      </c>
      <c r="L571" s="137"/>
    </row>
    <row r="572" spans="1:12" s="121" customFormat="1" x14ac:dyDescent="0.2">
      <c r="A572" s="72" t="str">
        <f>IF(F572&lt;&gt;"",1+MAX($A$1:A571),"")</f>
        <v/>
      </c>
      <c r="B572" s="30"/>
      <c r="C572" s="220"/>
      <c r="D572" s="145"/>
      <c r="E572" s="146" t="s">
        <v>22</v>
      </c>
      <c r="F572" s="147"/>
      <c r="G572" s="148"/>
      <c r="H572" s="27">
        <f>ROUNDUP((H571)/32,0)</f>
        <v>71</v>
      </c>
      <c r="I572" s="28" t="s">
        <v>23</v>
      </c>
      <c r="J572" s="135"/>
      <c r="K572" s="136"/>
      <c r="L572" s="137"/>
    </row>
    <row r="573" spans="1:12" s="121" customFormat="1" x14ac:dyDescent="0.2">
      <c r="A573" s="72" t="str">
        <f>IF(F573&lt;&gt;"",1+MAX($A$1:A572),"")</f>
        <v/>
      </c>
      <c r="B573" s="30"/>
      <c r="C573" s="220"/>
      <c r="D573" s="145"/>
      <c r="E573" s="146" t="s">
        <v>24</v>
      </c>
      <c r="F573" s="147"/>
      <c r="G573" s="148"/>
      <c r="H573" s="27">
        <f>ROUNDUP(H572*24/500,0)</f>
        <v>4</v>
      </c>
      <c r="I573" s="28" t="s">
        <v>25</v>
      </c>
      <c r="J573" s="135"/>
      <c r="K573" s="136"/>
      <c r="L573" s="137"/>
    </row>
    <row r="574" spans="1:12" s="121" customFormat="1" x14ac:dyDescent="0.2">
      <c r="A574" s="72" t="str">
        <f>IF(F574&lt;&gt;"",1+MAX($A$1:A573),"")</f>
        <v/>
      </c>
      <c r="B574" s="30"/>
      <c r="C574" s="220"/>
      <c r="D574" s="145"/>
      <c r="E574" s="146" t="s">
        <v>26</v>
      </c>
      <c r="F574" s="147"/>
      <c r="G574" s="148"/>
      <c r="H574" s="149">
        <f>ROUNDUP((H571)/200,0)</f>
        <v>12</v>
      </c>
      <c r="I574" s="28" t="s">
        <v>27</v>
      </c>
      <c r="J574" s="135"/>
      <c r="K574" s="136"/>
      <c r="L574" s="137"/>
    </row>
    <row r="575" spans="1:12" s="121" customFormat="1" x14ac:dyDescent="0.2">
      <c r="A575" s="72" t="str">
        <f>IF(F575&lt;&gt;"",1+MAX($A$1:A574),"")</f>
        <v/>
      </c>
      <c r="B575" s="30"/>
      <c r="C575" s="220"/>
      <c r="D575" s="145"/>
      <c r="E575" s="146" t="s">
        <v>28</v>
      </c>
      <c r="F575" s="147"/>
      <c r="G575" s="148"/>
      <c r="H575" s="149">
        <f>ROUNDUP((H571)*5.25/1000,0)</f>
        <v>12</v>
      </c>
      <c r="I575" s="28" t="s">
        <v>29</v>
      </c>
      <c r="J575" s="135"/>
      <c r="K575" s="136"/>
      <c r="L575" s="137"/>
    </row>
    <row r="576" spans="1:12" s="121" customFormat="1" x14ac:dyDescent="0.2">
      <c r="A576" s="72">
        <f>IF(F576&lt;&gt;"",1+MAX($A$1:A575),"")</f>
        <v>326</v>
      </c>
      <c r="B576" s="2" t="s">
        <v>88</v>
      </c>
      <c r="C576" s="200" t="s">
        <v>95</v>
      </c>
      <c r="D576" s="145"/>
      <c r="E576" s="143" t="s">
        <v>94</v>
      </c>
      <c r="F576" s="13">
        <f>102.6*4</f>
        <v>410.4</v>
      </c>
      <c r="G576" s="74">
        <v>0.1</v>
      </c>
      <c r="H576" s="27">
        <f t="shared" ref="H576:H578" si="159">F576*(1+G576)</f>
        <v>451.44</v>
      </c>
      <c r="I576" s="28" t="s">
        <v>13</v>
      </c>
      <c r="J576" s="135">
        <f>J$490</f>
        <v>0</v>
      </c>
      <c r="K576" s="136">
        <f t="shared" ref="K576:K578" si="160">J576*H576</f>
        <v>0</v>
      </c>
      <c r="L576" s="137"/>
    </row>
    <row r="577" spans="1:12" s="121" customFormat="1" x14ac:dyDescent="0.2">
      <c r="A577" s="72">
        <f>IF(F577&lt;&gt;"",1+MAX($A$1:A576),"")</f>
        <v>327</v>
      </c>
      <c r="B577" s="2" t="s">
        <v>88</v>
      </c>
      <c r="C577" s="200" t="s">
        <v>95</v>
      </c>
      <c r="D577" s="145"/>
      <c r="E577" s="143" t="s">
        <v>102</v>
      </c>
      <c r="F577" s="13">
        <f>102.6*12</f>
        <v>1231.1999999999998</v>
      </c>
      <c r="G577" s="74">
        <v>0.1</v>
      </c>
      <c r="H577" s="27">
        <f t="shared" si="159"/>
        <v>1354.32</v>
      </c>
      <c r="I577" s="28" t="s">
        <v>16</v>
      </c>
      <c r="J577" s="135">
        <f>J$558</f>
        <v>0</v>
      </c>
      <c r="K577" s="136">
        <f t="shared" si="160"/>
        <v>0</v>
      </c>
      <c r="L577" s="137"/>
    </row>
    <row r="578" spans="1:12" s="121" customFormat="1" x14ac:dyDescent="0.2">
      <c r="A578" s="72">
        <f>IF(F578&lt;&gt;"",1+MAX($A$1:A577),"")</f>
        <v>328</v>
      </c>
      <c r="B578" s="2" t="s">
        <v>88</v>
      </c>
      <c r="C578" s="200" t="s">
        <v>95</v>
      </c>
      <c r="D578" s="145"/>
      <c r="E578" s="143" t="s">
        <v>103</v>
      </c>
      <c r="F578" s="13">
        <f t="shared" ref="F578" si="161">102.6*10</f>
        <v>1026</v>
      </c>
      <c r="G578" s="74">
        <v>0.1</v>
      </c>
      <c r="H578" s="27">
        <f t="shared" si="159"/>
        <v>1128.6000000000001</v>
      </c>
      <c r="I578" s="28" t="s">
        <v>16</v>
      </c>
      <c r="J578" s="135">
        <f>J$568</f>
        <v>0</v>
      </c>
      <c r="K578" s="136">
        <f t="shared" si="160"/>
        <v>0</v>
      </c>
      <c r="L578" s="137"/>
    </row>
    <row r="579" spans="1:12" s="121" customFormat="1" x14ac:dyDescent="0.2">
      <c r="A579" s="72" t="str">
        <f>IF(F579&lt;&gt;"",1+MAX($A$1:A578),"")</f>
        <v/>
      </c>
      <c r="B579" s="2"/>
      <c r="C579" s="244"/>
      <c r="D579" s="145"/>
      <c r="E579" s="146"/>
      <c r="F579" s="147"/>
      <c r="G579" s="148"/>
      <c r="H579" s="27"/>
      <c r="I579" s="28"/>
      <c r="J579" s="135"/>
      <c r="K579" s="136"/>
      <c r="L579" s="137"/>
    </row>
    <row r="580" spans="1:12" s="121" customFormat="1" x14ac:dyDescent="0.2">
      <c r="A580" s="72" t="str">
        <f>IF(F580&lt;&gt;"",1+MAX($A$1:A579),"")</f>
        <v/>
      </c>
      <c r="B580" s="138"/>
      <c r="C580" s="219"/>
      <c r="D580" s="133"/>
      <c r="E580" s="139" t="s">
        <v>108</v>
      </c>
      <c r="F580" s="134"/>
      <c r="G580" s="20"/>
      <c r="H580" s="140"/>
      <c r="I580" s="4"/>
      <c r="J580" s="141"/>
      <c r="K580" s="142"/>
      <c r="L580" s="137"/>
    </row>
    <row r="581" spans="1:12" s="121" customFormat="1" x14ac:dyDescent="0.2">
      <c r="A581" s="72">
        <f>IF(F581&lt;&gt;"",1+MAX($A$1:A580),"")</f>
        <v>329</v>
      </c>
      <c r="B581" s="2" t="s">
        <v>88</v>
      </c>
      <c r="C581" s="200" t="s">
        <v>95</v>
      </c>
      <c r="D581" s="225"/>
      <c r="E581" s="143" t="s">
        <v>101</v>
      </c>
      <c r="F581" s="13">
        <f>21.3*10</f>
        <v>213</v>
      </c>
      <c r="G581" s="74">
        <v>0.1</v>
      </c>
      <c r="H581" s="27">
        <f>F581*(1+G581)</f>
        <v>234.3</v>
      </c>
      <c r="I581" s="28" t="s">
        <v>16</v>
      </c>
      <c r="J581" s="135">
        <f>J$512</f>
        <v>0</v>
      </c>
      <c r="K581" s="136">
        <f>J581*H581</f>
        <v>0</v>
      </c>
      <c r="L581" s="137"/>
    </row>
    <row r="582" spans="1:12" s="121" customFormat="1" x14ac:dyDescent="0.2">
      <c r="A582" s="72">
        <f>IF(F582&lt;&gt;"",1+MAX($A$1:A581),"")</f>
        <v>330</v>
      </c>
      <c r="B582" s="2" t="s">
        <v>88</v>
      </c>
      <c r="C582" s="200" t="s">
        <v>95</v>
      </c>
      <c r="D582" s="225"/>
      <c r="E582" s="143" t="s">
        <v>142</v>
      </c>
      <c r="F582" s="13">
        <f>21.3*10</f>
        <v>213</v>
      </c>
      <c r="G582" s="74">
        <v>0.1</v>
      </c>
      <c r="H582" s="27">
        <f>F582*(1+G582)</f>
        <v>234.3</v>
      </c>
      <c r="I582" s="28" t="s">
        <v>16</v>
      </c>
      <c r="J582" s="144">
        <v>0</v>
      </c>
      <c r="K582" s="136">
        <f>J582*H582</f>
        <v>0</v>
      </c>
      <c r="L582" s="137"/>
    </row>
    <row r="583" spans="1:12" s="121" customFormat="1" x14ac:dyDescent="0.2">
      <c r="A583" s="72" t="str">
        <f>IF(F583&lt;&gt;"",1+MAX($A$1:A582),"")</f>
        <v/>
      </c>
      <c r="B583" s="30"/>
      <c r="C583" s="220"/>
      <c r="D583" s="145"/>
      <c r="E583" s="146" t="s">
        <v>22</v>
      </c>
      <c r="F583" s="147"/>
      <c r="G583" s="148"/>
      <c r="H583" s="27">
        <f>ROUNDUP((H582+H581)/32,0)</f>
        <v>15</v>
      </c>
      <c r="I583" s="28" t="s">
        <v>23</v>
      </c>
      <c r="J583" s="135"/>
      <c r="K583" s="136"/>
      <c r="L583" s="137"/>
    </row>
    <row r="584" spans="1:12" s="121" customFormat="1" x14ac:dyDescent="0.2">
      <c r="A584" s="72" t="str">
        <f>IF(F584&lt;&gt;"",1+MAX($A$1:A583),"")</f>
        <v/>
      </c>
      <c r="B584" s="30"/>
      <c r="C584" s="220"/>
      <c r="D584" s="145"/>
      <c r="E584" s="146" t="s">
        <v>24</v>
      </c>
      <c r="F584" s="147"/>
      <c r="G584" s="148"/>
      <c r="H584" s="27">
        <f>ROUNDUP(H583*24/500,0)</f>
        <v>1</v>
      </c>
      <c r="I584" s="28" t="s">
        <v>25</v>
      </c>
      <c r="J584" s="135"/>
      <c r="K584" s="136"/>
      <c r="L584" s="137"/>
    </row>
    <row r="585" spans="1:12" s="121" customFormat="1" x14ac:dyDescent="0.2">
      <c r="A585" s="72" t="str">
        <f>IF(F585&lt;&gt;"",1+MAX($A$1:A584),"")</f>
        <v/>
      </c>
      <c r="B585" s="30"/>
      <c r="C585" s="220"/>
      <c r="D585" s="145"/>
      <c r="E585" s="146" t="s">
        <v>26</v>
      </c>
      <c r="F585" s="147"/>
      <c r="G585" s="148"/>
      <c r="H585" s="149">
        <f>ROUNDUP((H582+H581)/200,0)</f>
        <v>3</v>
      </c>
      <c r="I585" s="28" t="s">
        <v>27</v>
      </c>
      <c r="J585" s="135"/>
      <c r="K585" s="136"/>
      <c r="L585" s="137"/>
    </row>
    <row r="586" spans="1:12" s="121" customFormat="1" x14ac:dyDescent="0.2">
      <c r="A586" s="72" t="str">
        <f>IF(F586&lt;&gt;"",1+MAX($A$1:A585),"")</f>
        <v/>
      </c>
      <c r="B586" s="30"/>
      <c r="C586" s="220"/>
      <c r="D586" s="145"/>
      <c r="E586" s="146" t="s">
        <v>28</v>
      </c>
      <c r="F586" s="147"/>
      <c r="G586" s="148"/>
      <c r="H586" s="149">
        <f>ROUNDUP((H582+H581)*5.25/1000,0)</f>
        <v>3</v>
      </c>
      <c r="I586" s="28" t="s">
        <v>29</v>
      </c>
      <c r="J586" s="135"/>
      <c r="K586" s="136"/>
      <c r="L586" s="137"/>
    </row>
    <row r="587" spans="1:12" s="121" customFormat="1" x14ac:dyDescent="0.2">
      <c r="A587" s="72">
        <f>IF(F587&lt;&gt;"",1+MAX($A$1:A586),"")</f>
        <v>331</v>
      </c>
      <c r="B587" s="2" t="s">
        <v>88</v>
      </c>
      <c r="C587" s="200" t="s">
        <v>95</v>
      </c>
      <c r="D587" s="145"/>
      <c r="E587" s="143" t="s">
        <v>94</v>
      </c>
      <c r="F587" s="13">
        <f>21.3*4</f>
        <v>85.2</v>
      </c>
      <c r="G587" s="74">
        <v>0.1</v>
      </c>
      <c r="H587" s="27">
        <f t="shared" ref="H587:H589" si="162">F587*(1+G587)</f>
        <v>93.720000000000013</v>
      </c>
      <c r="I587" s="28" t="s">
        <v>13</v>
      </c>
      <c r="J587" s="135">
        <f>J$490</f>
        <v>0</v>
      </c>
      <c r="K587" s="136">
        <f t="shared" ref="K587:K589" si="163">J587*H587</f>
        <v>0</v>
      </c>
      <c r="L587" s="137"/>
    </row>
    <row r="588" spans="1:12" s="121" customFormat="1" x14ac:dyDescent="0.2">
      <c r="A588" s="72">
        <f>IF(F588&lt;&gt;"",1+MAX($A$1:A587),"")</f>
        <v>332</v>
      </c>
      <c r="B588" s="2" t="s">
        <v>88</v>
      </c>
      <c r="C588" s="200" t="s">
        <v>95</v>
      </c>
      <c r="D588" s="145"/>
      <c r="E588" s="143" t="s">
        <v>102</v>
      </c>
      <c r="F588" s="13">
        <f t="shared" ref="F588:F589" si="164">21.3*10</f>
        <v>213</v>
      </c>
      <c r="G588" s="74">
        <v>0.1</v>
      </c>
      <c r="H588" s="27">
        <f t="shared" si="162"/>
        <v>234.3</v>
      </c>
      <c r="I588" s="28" t="s">
        <v>16</v>
      </c>
      <c r="J588" s="135">
        <f>J$558</f>
        <v>0</v>
      </c>
      <c r="K588" s="136">
        <f t="shared" si="163"/>
        <v>0</v>
      </c>
      <c r="L588" s="137"/>
    </row>
    <row r="589" spans="1:12" s="121" customFormat="1" x14ac:dyDescent="0.2">
      <c r="A589" s="72">
        <f>IF(F589&lt;&gt;"",1+MAX($A$1:A588),"")</f>
        <v>333</v>
      </c>
      <c r="B589" s="2" t="s">
        <v>88</v>
      </c>
      <c r="C589" s="200" t="s">
        <v>95</v>
      </c>
      <c r="D589" s="145"/>
      <c r="E589" s="143" t="s">
        <v>103</v>
      </c>
      <c r="F589" s="13">
        <f t="shared" si="164"/>
        <v>213</v>
      </c>
      <c r="G589" s="74">
        <v>0.1</v>
      </c>
      <c r="H589" s="27">
        <f t="shared" si="162"/>
        <v>234.3</v>
      </c>
      <c r="I589" s="28" t="s">
        <v>16</v>
      </c>
      <c r="J589" s="135">
        <f>J$568</f>
        <v>0</v>
      </c>
      <c r="K589" s="136">
        <f t="shared" si="163"/>
        <v>0</v>
      </c>
      <c r="L589" s="137"/>
    </row>
    <row r="590" spans="1:12" s="121" customFormat="1" x14ac:dyDescent="0.2">
      <c r="A590" s="72" t="str">
        <f>IF(F590&lt;&gt;"",1+MAX($A$1:A589),"")</f>
        <v/>
      </c>
      <c r="B590" s="2"/>
      <c r="C590" s="244"/>
      <c r="D590" s="145"/>
      <c r="E590" s="146"/>
      <c r="F590" s="147"/>
      <c r="G590" s="148"/>
      <c r="H590" s="27"/>
      <c r="I590" s="28"/>
      <c r="J590" s="135"/>
      <c r="K590" s="136"/>
      <c r="L590" s="137"/>
    </row>
    <row r="591" spans="1:12" s="121" customFormat="1" x14ac:dyDescent="0.2">
      <c r="A591" s="72" t="str">
        <f>IF(F591&lt;&gt;"",1+MAX($A$1:A590),"")</f>
        <v/>
      </c>
      <c r="B591" s="138"/>
      <c r="C591" s="219"/>
      <c r="D591" s="133"/>
      <c r="E591" s="139" t="s">
        <v>109</v>
      </c>
      <c r="F591" s="134"/>
      <c r="G591" s="20"/>
      <c r="H591" s="140"/>
      <c r="I591" s="4"/>
      <c r="J591" s="141"/>
      <c r="K591" s="142"/>
      <c r="L591" s="137"/>
    </row>
    <row r="592" spans="1:12" s="121" customFormat="1" x14ac:dyDescent="0.2">
      <c r="A592" s="72">
        <f>IF(F592&lt;&gt;"",1+MAX($A$1:A591),"")</f>
        <v>334</v>
      </c>
      <c r="B592" s="2" t="s">
        <v>88</v>
      </c>
      <c r="C592" s="200" t="s">
        <v>95</v>
      </c>
      <c r="D592" s="225"/>
      <c r="E592" s="143" t="s">
        <v>111</v>
      </c>
      <c r="F592" s="13">
        <f>33.4*12*2</f>
        <v>801.59999999999991</v>
      </c>
      <c r="G592" s="74">
        <v>0.1</v>
      </c>
      <c r="H592" s="27">
        <f>F592*(1+G592)</f>
        <v>881.76</v>
      </c>
      <c r="I592" s="28" t="s">
        <v>16</v>
      </c>
      <c r="J592" s="144">
        <v>0</v>
      </c>
      <c r="K592" s="136">
        <f>J592*H592</f>
        <v>0</v>
      </c>
      <c r="L592" s="137"/>
    </row>
    <row r="593" spans="1:12" s="121" customFormat="1" x14ac:dyDescent="0.2">
      <c r="A593" s="72" t="str">
        <f>IF(F593&lt;&gt;"",1+MAX($A$1:A592),"")</f>
        <v/>
      </c>
      <c r="B593" s="30"/>
      <c r="C593" s="220"/>
      <c r="D593" s="145"/>
      <c r="E593" s="146" t="s">
        <v>22</v>
      </c>
      <c r="F593" s="147"/>
      <c r="G593" s="148"/>
      <c r="H593" s="27">
        <f>ROUNDUP((H592)/32,0)</f>
        <v>28</v>
      </c>
      <c r="I593" s="28" t="s">
        <v>23</v>
      </c>
      <c r="J593" s="135"/>
      <c r="K593" s="136"/>
      <c r="L593" s="137"/>
    </row>
    <row r="594" spans="1:12" s="121" customFormat="1" x14ac:dyDescent="0.2">
      <c r="A594" s="72" t="str">
        <f>IF(F594&lt;&gt;"",1+MAX($A$1:A593),"")</f>
        <v/>
      </c>
      <c r="B594" s="30"/>
      <c r="C594" s="220"/>
      <c r="D594" s="145"/>
      <c r="E594" s="146" t="s">
        <v>24</v>
      </c>
      <c r="F594" s="147"/>
      <c r="G594" s="148"/>
      <c r="H594" s="27">
        <f>ROUNDUP(H593*24/500,0)</f>
        <v>2</v>
      </c>
      <c r="I594" s="28" t="s">
        <v>25</v>
      </c>
      <c r="J594" s="135"/>
      <c r="K594" s="136"/>
      <c r="L594" s="137"/>
    </row>
    <row r="595" spans="1:12" s="121" customFormat="1" x14ac:dyDescent="0.2">
      <c r="A595" s="72" t="str">
        <f>IF(F595&lt;&gt;"",1+MAX($A$1:A594),"")</f>
        <v/>
      </c>
      <c r="B595" s="30"/>
      <c r="C595" s="220"/>
      <c r="D595" s="145"/>
      <c r="E595" s="146" t="s">
        <v>26</v>
      </c>
      <c r="F595" s="147"/>
      <c r="G595" s="148"/>
      <c r="H595" s="149">
        <f>ROUNDUP((H592)/200,0)</f>
        <v>5</v>
      </c>
      <c r="I595" s="28" t="s">
        <v>27</v>
      </c>
      <c r="J595" s="135"/>
      <c r="K595" s="136"/>
      <c r="L595" s="137"/>
    </row>
    <row r="596" spans="1:12" s="121" customFormat="1" x14ac:dyDescent="0.2">
      <c r="A596" s="72" t="str">
        <f>IF(F596&lt;&gt;"",1+MAX($A$1:A595),"")</f>
        <v/>
      </c>
      <c r="B596" s="30"/>
      <c r="C596" s="220"/>
      <c r="D596" s="145"/>
      <c r="E596" s="146" t="s">
        <v>28</v>
      </c>
      <c r="F596" s="147"/>
      <c r="G596" s="148"/>
      <c r="H596" s="149">
        <f>ROUNDUP((H592)*5.25/1000,0)</f>
        <v>5</v>
      </c>
      <c r="I596" s="28" t="s">
        <v>29</v>
      </c>
      <c r="J596" s="135"/>
      <c r="K596" s="136"/>
      <c r="L596" s="137"/>
    </row>
    <row r="597" spans="1:12" s="121" customFormat="1" x14ac:dyDescent="0.2">
      <c r="A597" s="72">
        <f>IF(F597&lt;&gt;"",1+MAX($A$1:A596),"")</f>
        <v>335</v>
      </c>
      <c r="B597" s="2" t="s">
        <v>88</v>
      </c>
      <c r="C597" s="200" t="s">
        <v>95</v>
      </c>
      <c r="D597" s="145"/>
      <c r="E597" s="143" t="s">
        <v>94</v>
      </c>
      <c r="F597" s="13">
        <f>33.4*2</f>
        <v>66.8</v>
      </c>
      <c r="G597" s="74">
        <v>0.1</v>
      </c>
      <c r="H597" s="27">
        <f t="shared" ref="H597:H601" si="165">F597*(1+G597)</f>
        <v>73.48</v>
      </c>
      <c r="I597" s="28" t="s">
        <v>13</v>
      </c>
      <c r="J597" s="135">
        <f>J$490</f>
        <v>0</v>
      </c>
      <c r="K597" s="136">
        <f t="shared" ref="K597:K601" si="166">J597*H597</f>
        <v>0</v>
      </c>
      <c r="L597" s="137"/>
    </row>
    <row r="598" spans="1:12" s="121" customFormat="1" x14ac:dyDescent="0.2">
      <c r="A598" s="72">
        <f>IF(F598&lt;&gt;"",1+MAX($A$1:A597),"")</f>
        <v>336</v>
      </c>
      <c r="B598" s="2" t="s">
        <v>88</v>
      </c>
      <c r="C598" s="200" t="s">
        <v>95</v>
      </c>
      <c r="D598" s="145"/>
      <c r="E598" s="143" t="s">
        <v>110</v>
      </c>
      <c r="F598" s="13">
        <f>33.4*12</f>
        <v>400.79999999999995</v>
      </c>
      <c r="G598" s="74">
        <v>0.1</v>
      </c>
      <c r="H598" s="27">
        <f t="shared" si="165"/>
        <v>440.88</v>
      </c>
      <c r="I598" s="28" t="s">
        <v>16</v>
      </c>
      <c r="J598" s="144">
        <v>0</v>
      </c>
      <c r="K598" s="136">
        <f t="shared" si="166"/>
        <v>0</v>
      </c>
      <c r="L598" s="137"/>
    </row>
    <row r="599" spans="1:12" s="121" customFormat="1" x14ac:dyDescent="0.2">
      <c r="A599" s="72">
        <f>IF(F599&lt;&gt;"",1+MAX($A$1:A598),"")</f>
        <v>337</v>
      </c>
      <c r="B599" s="2" t="s">
        <v>88</v>
      </c>
      <c r="C599" s="200" t="s">
        <v>95</v>
      </c>
      <c r="D599" s="145"/>
      <c r="E599" s="143" t="s">
        <v>102</v>
      </c>
      <c r="F599" s="13">
        <f>33.4*12</f>
        <v>400.79999999999995</v>
      </c>
      <c r="G599" s="74">
        <v>0.1</v>
      </c>
      <c r="H599" s="27">
        <f t="shared" si="165"/>
        <v>440.88</v>
      </c>
      <c r="I599" s="28" t="s">
        <v>16</v>
      </c>
      <c r="J599" s="135">
        <f>J$558</f>
        <v>0</v>
      </c>
      <c r="K599" s="136">
        <f t="shared" si="166"/>
        <v>0</v>
      </c>
      <c r="L599" s="137"/>
    </row>
    <row r="600" spans="1:12" s="121" customFormat="1" x14ac:dyDescent="0.2">
      <c r="A600" s="72">
        <f>IF(F600&lt;&gt;"",1+MAX($A$1:A599),"")</f>
        <v>338</v>
      </c>
      <c r="B600" s="2" t="s">
        <v>88</v>
      </c>
      <c r="C600" s="200" t="s">
        <v>95</v>
      </c>
      <c r="D600" s="145"/>
      <c r="E600" s="143" t="s">
        <v>112</v>
      </c>
      <c r="F600" s="13">
        <f>33.4*12</f>
        <v>400.79999999999995</v>
      </c>
      <c r="G600" s="74">
        <v>0.1</v>
      </c>
      <c r="H600" s="27">
        <f t="shared" si="165"/>
        <v>440.88</v>
      </c>
      <c r="I600" s="28" t="s">
        <v>16</v>
      </c>
      <c r="J600" s="144">
        <v>0</v>
      </c>
      <c r="K600" s="136">
        <f t="shared" si="166"/>
        <v>0</v>
      </c>
      <c r="L600" s="137"/>
    </row>
    <row r="601" spans="1:12" s="121" customFormat="1" x14ac:dyDescent="0.2">
      <c r="A601" s="72">
        <f>IF(F601&lt;&gt;"",1+MAX($A$1:A600),"")</f>
        <v>339</v>
      </c>
      <c r="B601" s="2" t="s">
        <v>88</v>
      </c>
      <c r="C601" s="200" t="s">
        <v>95</v>
      </c>
      <c r="D601" s="145"/>
      <c r="E601" s="143" t="s">
        <v>113</v>
      </c>
      <c r="F601" s="13">
        <f>33.4*2</f>
        <v>66.8</v>
      </c>
      <c r="G601" s="74">
        <v>0.1</v>
      </c>
      <c r="H601" s="27">
        <f t="shared" si="165"/>
        <v>73.48</v>
      </c>
      <c r="I601" s="28" t="s">
        <v>16</v>
      </c>
      <c r="J601" s="144">
        <v>0</v>
      </c>
      <c r="K601" s="136">
        <f t="shared" si="166"/>
        <v>0</v>
      </c>
      <c r="L601" s="137"/>
    </row>
    <row r="602" spans="1:12" s="121" customFormat="1" x14ac:dyDescent="0.2">
      <c r="A602" s="72" t="str">
        <f>IF(F602&lt;&gt;"",1+MAX($A$1:A601),"")</f>
        <v/>
      </c>
      <c r="B602" s="2"/>
      <c r="C602" s="244"/>
      <c r="D602" s="145"/>
      <c r="E602" s="146"/>
      <c r="F602" s="147"/>
      <c r="G602" s="148"/>
      <c r="H602" s="27"/>
      <c r="I602" s="28"/>
      <c r="J602" s="135"/>
      <c r="K602" s="136"/>
      <c r="L602" s="137"/>
    </row>
    <row r="603" spans="1:12" s="121" customFormat="1" x14ac:dyDescent="0.2">
      <c r="A603" s="72" t="str">
        <f>IF(F603&lt;&gt;"",1+MAX($A$1:A602),"")</f>
        <v/>
      </c>
      <c r="B603" s="138"/>
      <c r="C603" s="219"/>
      <c r="D603" s="133"/>
      <c r="E603" s="139" t="s">
        <v>114</v>
      </c>
      <c r="F603" s="134"/>
      <c r="G603" s="20"/>
      <c r="H603" s="140"/>
      <c r="I603" s="4"/>
      <c r="J603" s="141"/>
      <c r="K603" s="142"/>
      <c r="L603" s="137"/>
    </row>
    <row r="604" spans="1:12" s="121" customFormat="1" x14ac:dyDescent="0.2">
      <c r="A604" s="72">
        <f>IF(F604&lt;&gt;"",1+MAX($A$1:A603),"")</f>
        <v>340</v>
      </c>
      <c r="B604" s="2" t="s">
        <v>88</v>
      </c>
      <c r="C604" s="200" t="s">
        <v>95</v>
      </c>
      <c r="D604" s="225"/>
      <c r="E604" s="143" t="s">
        <v>115</v>
      </c>
      <c r="F604" s="13">
        <f>7.9*12*2</f>
        <v>189.60000000000002</v>
      </c>
      <c r="G604" s="74">
        <v>0.1</v>
      </c>
      <c r="H604" s="27">
        <f>F604*(1+G604)</f>
        <v>208.56000000000003</v>
      </c>
      <c r="I604" s="28" t="s">
        <v>16</v>
      </c>
      <c r="J604" s="135">
        <f>J$512</f>
        <v>0</v>
      </c>
      <c r="K604" s="136">
        <f>J604*H604</f>
        <v>0</v>
      </c>
      <c r="L604" s="137"/>
    </row>
    <row r="605" spans="1:12" s="121" customFormat="1" x14ac:dyDescent="0.2">
      <c r="A605" s="72" t="str">
        <f>IF(F605&lt;&gt;"",1+MAX($A$1:A604),"")</f>
        <v/>
      </c>
      <c r="B605" s="30"/>
      <c r="C605" s="220"/>
      <c r="D605" s="145"/>
      <c r="E605" s="146" t="s">
        <v>22</v>
      </c>
      <c r="F605" s="147"/>
      <c r="G605" s="148"/>
      <c r="H605" s="27">
        <f>ROUNDUP((H604)/32,0)</f>
        <v>7</v>
      </c>
      <c r="I605" s="28" t="s">
        <v>23</v>
      </c>
      <c r="J605" s="135"/>
      <c r="K605" s="136"/>
      <c r="L605" s="137"/>
    </row>
    <row r="606" spans="1:12" s="121" customFormat="1" x14ac:dyDescent="0.2">
      <c r="A606" s="72" t="str">
        <f>IF(F606&lt;&gt;"",1+MAX($A$1:A605),"")</f>
        <v/>
      </c>
      <c r="B606" s="30"/>
      <c r="C606" s="220"/>
      <c r="D606" s="145"/>
      <c r="E606" s="146" t="s">
        <v>24</v>
      </c>
      <c r="F606" s="147"/>
      <c r="G606" s="148"/>
      <c r="H606" s="27">
        <f>ROUNDUP(H605*24/500,0)</f>
        <v>1</v>
      </c>
      <c r="I606" s="28" t="s">
        <v>25</v>
      </c>
      <c r="J606" s="135"/>
      <c r="K606" s="136"/>
      <c r="L606" s="137"/>
    </row>
    <row r="607" spans="1:12" s="121" customFormat="1" x14ac:dyDescent="0.2">
      <c r="A607" s="72" t="str">
        <f>IF(F607&lt;&gt;"",1+MAX($A$1:A606),"")</f>
        <v/>
      </c>
      <c r="B607" s="30"/>
      <c r="C607" s="220"/>
      <c r="D607" s="145"/>
      <c r="E607" s="146" t="s">
        <v>26</v>
      </c>
      <c r="F607" s="147"/>
      <c r="G607" s="148"/>
      <c r="H607" s="149">
        <f>ROUNDUP((H604)/200,0)</f>
        <v>2</v>
      </c>
      <c r="I607" s="28" t="s">
        <v>27</v>
      </c>
      <c r="J607" s="135"/>
      <c r="K607" s="136"/>
      <c r="L607" s="137"/>
    </row>
    <row r="608" spans="1:12" s="121" customFormat="1" x14ac:dyDescent="0.2">
      <c r="A608" s="72" t="str">
        <f>IF(F608&lt;&gt;"",1+MAX($A$1:A607),"")</f>
        <v/>
      </c>
      <c r="B608" s="30"/>
      <c r="C608" s="220"/>
      <c r="D608" s="145"/>
      <c r="E608" s="146" t="s">
        <v>28</v>
      </c>
      <c r="F608" s="147"/>
      <c r="G608" s="148"/>
      <c r="H608" s="149">
        <f>ROUNDUP((H604)*5.25/1000,0)</f>
        <v>2</v>
      </c>
      <c r="I608" s="28" t="s">
        <v>29</v>
      </c>
      <c r="J608" s="135"/>
      <c r="K608" s="136"/>
      <c r="L608" s="137"/>
    </row>
    <row r="609" spans="1:12" s="121" customFormat="1" x14ac:dyDescent="0.2">
      <c r="A609" s="72">
        <f>IF(F609&lt;&gt;"",1+MAX($A$1:A608),"")</f>
        <v>341</v>
      </c>
      <c r="B609" s="2" t="s">
        <v>88</v>
      </c>
      <c r="C609" s="200" t="s">
        <v>95</v>
      </c>
      <c r="D609" s="145"/>
      <c r="E609" s="143" t="s">
        <v>94</v>
      </c>
      <c r="F609" s="13">
        <f>7.9*2</f>
        <v>15.8</v>
      </c>
      <c r="G609" s="74">
        <v>0.1</v>
      </c>
      <c r="H609" s="27">
        <f t="shared" ref="H609:H613" si="167">F609*(1+G609)</f>
        <v>17.380000000000003</v>
      </c>
      <c r="I609" s="28" t="s">
        <v>13</v>
      </c>
      <c r="J609" s="135">
        <f>J$490</f>
        <v>0</v>
      </c>
      <c r="K609" s="136">
        <f t="shared" ref="K609:K613" si="168">J609*H609</f>
        <v>0</v>
      </c>
      <c r="L609" s="137"/>
    </row>
    <row r="610" spans="1:12" s="121" customFormat="1" x14ac:dyDescent="0.2">
      <c r="A610" s="72">
        <f>IF(F610&lt;&gt;"",1+MAX($A$1:A609),"")</f>
        <v>342</v>
      </c>
      <c r="B610" s="2" t="s">
        <v>88</v>
      </c>
      <c r="C610" s="200" t="s">
        <v>95</v>
      </c>
      <c r="D610" s="145"/>
      <c r="E610" s="143" t="s">
        <v>110</v>
      </c>
      <c r="F610" s="13">
        <f>7.9*12</f>
        <v>94.800000000000011</v>
      </c>
      <c r="G610" s="74">
        <v>0.1</v>
      </c>
      <c r="H610" s="27">
        <f t="shared" si="167"/>
        <v>104.28000000000002</v>
      </c>
      <c r="I610" s="28" t="s">
        <v>16</v>
      </c>
      <c r="J610" s="135">
        <f>J$598</f>
        <v>0</v>
      </c>
      <c r="K610" s="136">
        <f t="shared" si="168"/>
        <v>0</v>
      </c>
      <c r="L610" s="137"/>
    </row>
    <row r="611" spans="1:12" s="121" customFormat="1" x14ac:dyDescent="0.2">
      <c r="A611" s="72">
        <f>IF(F611&lt;&gt;"",1+MAX($A$1:A610),"")</f>
        <v>343</v>
      </c>
      <c r="B611" s="2" t="s">
        <v>88</v>
      </c>
      <c r="C611" s="200" t="s">
        <v>95</v>
      </c>
      <c r="D611" s="145"/>
      <c r="E611" s="143" t="s">
        <v>102</v>
      </c>
      <c r="F611" s="13">
        <f t="shared" ref="F611:F612" si="169">7.9*12</f>
        <v>94.800000000000011</v>
      </c>
      <c r="G611" s="74">
        <v>0.1</v>
      </c>
      <c r="H611" s="27">
        <f t="shared" si="167"/>
        <v>104.28000000000002</v>
      </c>
      <c r="I611" s="28" t="s">
        <v>16</v>
      </c>
      <c r="J611" s="135">
        <f>J$558</f>
        <v>0</v>
      </c>
      <c r="K611" s="136">
        <f t="shared" si="168"/>
        <v>0</v>
      </c>
      <c r="L611" s="137"/>
    </row>
    <row r="612" spans="1:12" s="121" customFormat="1" x14ac:dyDescent="0.2">
      <c r="A612" s="72">
        <f>IF(F612&lt;&gt;"",1+MAX($A$1:A611),"")</f>
        <v>344</v>
      </c>
      <c r="B612" s="2" t="s">
        <v>88</v>
      </c>
      <c r="C612" s="200" t="s">
        <v>95</v>
      </c>
      <c r="D612" s="145"/>
      <c r="E612" s="143" t="s">
        <v>112</v>
      </c>
      <c r="F612" s="13">
        <f t="shared" si="169"/>
        <v>94.800000000000011</v>
      </c>
      <c r="G612" s="74">
        <v>0.1</v>
      </c>
      <c r="H612" s="27">
        <f t="shared" si="167"/>
        <v>104.28000000000002</v>
      </c>
      <c r="I612" s="28" t="s">
        <v>16</v>
      </c>
      <c r="J612" s="135">
        <f>J$600</f>
        <v>0</v>
      </c>
      <c r="K612" s="136">
        <f t="shared" si="168"/>
        <v>0</v>
      </c>
      <c r="L612" s="137"/>
    </row>
    <row r="613" spans="1:12" s="121" customFormat="1" x14ac:dyDescent="0.2">
      <c r="A613" s="72">
        <f>IF(F613&lt;&gt;"",1+MAX($A$1:A612),"")</f>
        <v>345</v>
      </c>
      <c r="B613" s="2" t="s">
        <v>88</v>
      </c>
      <c r="C613" s="200" t="s">
        <v>95</v>
      </c>
      <c r="D613" s="145"/>
      <c r="E613" s="143" t="s">
        <v>113</v>
      </c>
      <c r="F613" s="13">
        <f>7.9*2</f>
        <v>15.8</v>
      </c>
      <c r="G613" s="74">
        <v>0.1</v>
      </c>
      <c r="H613" s="27">
        <f t="shared" si="167"/>
        <v>17.380000000000003</v>
      </c>
      <c r="I613" s="28" t="s">
        <v>16</v>
      </c>
      <c r="J613" s="135">
        <f>J$601</f>
        <v>0</v>
      </c>
      <c r="K613" s="136">
        <f t="shared" si="168"/>
        <v>0</v>
      </c>
      <c r="L613" s="137"/>
    </row>
    <row r="614" spans="1:12" s="121" customFormat="1" x14ac:dyDescent="0.2">
      <c r="A614" s="72" t="str">
        <f>IF(F614&lt;&gt;"",1+MAX($A$1:A613),"")</f>
        <v/>
      </c>
      <c r="B614" s="2"/>
      <c r="C614" s="244"/>
      <c r="D614" s="145"/>
      <c r="E614" s="146"/>
      <c r="F614" s="147"/>
      <c r="G614" s="148"/>
      <c r="H614" s="27"/>
      <c r="I614" s="28"/>
      <c r="J614" s="135"/>
      <c r="K614" s="136"/>
      <c r="L614" s="137"/>
    </row>
    <row r="615" spans="1:12" s="121" customFormat="1" x14ac:dyDescent="0.2">
      <c r="A615" s="72" t="str">
        <f>IF(F615&lt;&gt;"",1+MAX($A$1:A614),"")</f>
        <v/>
      </c>
      <c r="B615" s="138"/>
      <c r="C615" s="219"/>
      <c r="D615" s="133"/>
      <c r="E615" s="139" t="s">
        <v>116</v>
      </c>
      <c r="F615" s="134"/>
      <c r="G615" s="20"/>
      <c r="H615" s="140"/>
      <c r="I615" s="4"/>
      <c r="J615" s="141"/>
      <c r="K615" s="142"/>
      <c r="L615" s="137"/>
    </row>
    <row r="616" spans="1:12" s="121" customFormat="1" x14ac:dyDescent="0.2">
      <c r="A616" s="72">
        <f>IF(F616&lt;&gt;"",1+MAX($A$1:A615),"")</f>
        <v>346</v>
      </c>
      <c r="B616" s="2" t="s">
        <v>88</v>
      </c>
      <c r="C616" s="200" t="s">
        <v>95</v>
      </c>
      <c r="D616" s="225"/>
      <c r="E616" s="143" t="s">
        <v>104</v>
      </c>
      <c r="F616" s="13">
        <f>2.1*12</f>
        <v>25.200000000000003</v>
      </c>
      <c r="G616" s="74">
        <v>0.1</v>
      </c>
      <c r="H616" s="27">
        <f>F616*(1+G616)</f>
        <v>27.720000000000006</v>
      </c>
      <c r="I616" s="28" t="s">
        <v>16</v>
      </c>
      <c r="J616" s="135">
        <f>J$512</f>
        <v>0</v>
      </c>
      <c r="K616" s="136">
        <f>J616*H616</f>
        <v>0</v>
      </c>
      <c r="L616" s="137"/>
    </row>
    <row r="617" spans="1:12" s="121" customFormat="1" x14ac:dyDescent="0.2">
      <c r="A617" s="72" t="str">
        <f>IF(F617&lt;&gt;"",1+MAX($A$1:A616),"")</f>
        <v/>
      </c>
      <c r="B617" s="30"/>
      <c r="C617" s="220"/>
      <c r="D617" s="145"/>
      <c r="E617" s="146" t="s">
        <v>22</v>
      </c>
      <c r="F617" s="147"/>
      <c r="G617" s="148"/>
      <c r="H617" s="27">
        <f>ROUNDUP((H616)/32,0)</f>
        <v>1</v>
      </c>
      <c r="I617" s="28" t="s">
        <v>23</v>
      </c>
      <c r="J617" s="135"/>
      <c r="K617" s="136"/>
      <c r="L617" s="137"/>
    </row>
    <row r="618" spans="1:12" s="121" customFormat="1" x14ac:dyDescent="0.2">
      <c r="A618" s="72" t="str">
        <f>IF(F618&lt;&gt;"",1+MAX($A$1:A617),"")</f>
        <v/>
      </c>
      <c r="B618" s="30"/>
      <c r="C618" s="220"/>
      <c r="D618" s="145"/>
      <c r="E618" s="146" t="s">
        <v>24</v>
      </c>
      <c r="F618" s="147"/>
      <c r="G618" s="148"/>
      <c r="H618" s="27">
        <f>ROUNDUP(H617*24/500,0)</f>
        <v>1</v>
      </c>
      <c r="I618" s="28" t="s">
        <v>25</v>
      </c>
      <c r="J618" s="135"/>
      <c r="K618" s="136"/>
      <c r="L618" s="137"/>
    </row>
    <row r="619" spans="1:12" s="121" customFormat="1" x14ac:dyDescent="0.2">
      <c r="A619" s="72" t="str">
        <f>IF(F619&lt;&gt;"",1+MAX($A$1:A618),"")</f>
        <v/>
      </c>
      <c r="B619" s="30"/>
      <c r="C619" s="220"/>
      <c r="D619" s="145"/>
      <c r="E619" s="146" t="s">
        <v>26</v>
      </c>
      <c r="F619" s="147"/>
      <c r="G619" s="148"/>
      <c r="H619" s="149">
        <f>ROUNDUP((H616)/200,0)</f>
        <v>1</v>
      </c>
      <c r="I619" s="28" t="s">
        <v>27</v>
      </c>
      <c r="J619" s="135"/>
      <c r="K619" s="136"/>
      <c r="L619" s="137"/>
    </row>
    <row r="620" spans="1:12" s="121" customFormat="1" x14ac:dyDescent="0.2">
      <c r="A620" s="72" t="str">
        <f>IF(F620&lt;&gt;"",1+MAX($A$1:A619),"")</f>
        <v/>
      </c>
      <c r="B620" s="30"/>
      <c r="C620" s="220"/>
      <c r="D620" s="145"/>
      <c r="E620" s="146" t="s">
        <v>28</v>
      </c>
      <c r="F620" s="147"/>
      <c r="G620" s="148"/>
      <c r="H620" s="149">
        <f>ROUNDUP((H616)*5.25/1000,0)</f>
        <v>1</v>
      </c>
      <c r="I620" s="28" t="s">
        <v>29</v>
      </c>
      <c r="J620" s="135"/>
      <c r="K620" s="136"/>
      <c r="L620" s="137"/>
    </row>
    <row r="621" spans="1:12" s="121" customFormat="1" x14ac:dyDescent="0.2">
      <c r="A621" s="72">
        <f>IF(F621&lt;&gt;"",1+MAX($A$1:A620),"")</f>
        <v>347</v>
      </c>
      <c r="B621" s="2" t="s">
        <v>88</v>
      </c>
      <c r="C621" s="200" t="s">
        <v>95</v>
      </c>
      <c r="D621" s="145"/>
      <c r="E621" s="143" t="s">
        <v>94</v>
      </c>
      <c r="F621" s="13">
        <f>2.1*2</f>
        <v>4.2</v>
      </c>
      <c r="G621" s="74">
        <v>0.1</v>
      </c>
      <c r="H621" s="27">
        <f t="shared" ref="H621:H625" si="170">F621*(1+G621)</f>
        <v>4.620000000000001</v>
      </c>
      <c r="I621" s="28" t="s">
        <v>13</v>
      </c>
      <c r="J621" s="135">
        <f>J$490</f>
        <v>0</v>
      </c>
      <c r="K621" s="136">
        <f t="shared" ref="K621:K625" si="171">J621*H621</f>
        <v>0</v>
      </c>
      <c r="L621" s="137"/>
    </row>
    <row r="622" spans="1:12" s="121" customFormat="1" x14ac:dyDescent="0.2">
      <c r="A622" s="72">
        <f>IF(F622&lt;&gt;"",1+MAX($A$1:A621),"")</f>
        <v>348</v>
      </c>
      <c r="B622" s="2" t="s">
        <v>88</v>
      </c>
      <c r="C622" s="200" t="s">
        <v>95</v>
      </c>
      <c r="D622" s="145"/>
      <c r="E622" s="143" t="s">
        <v>110</v>
      </c>
      <c r="F622" s="13">
        <f t="shared" ref="F622:F624" si="172">2.1*12</f>
        <v>25.200000000000003</v>
      </c>
      <c r="G622" s="74">
        <v>0.1</v>
      </c>
      <c r="H622" s="27">
        <f t="shared" si="170"/>
        <v>27.720000000000006</v>
      </c>
      <c r="I622" s="28" t="s">
        <v>16</v>
      </c>
      <c r="J622" s="135">
        <f>J$598</f>
        <v>0</v>
      </c>
      <c r="K622" s="136">
        <f t="shared" si="171"/>
        <v>0</v>
      </c>
      <c r="L622" s="137"/>
    </row>
    <row r="623" spans="1:12" s="121" customFormat="1" x14ac:dyDescent="0.2">
      <c r="A623" s="72">
        <f>IF(F623&lt;&gt;"",1+MAX($A$1:A622),"")</f>
        <v>349</v>
      </c>
      <c r="B623" s="2" t="s">
        <v>88</v>
      </c>
      <c r="C623" s="200" t="s">
        <v>95</v>
      </c>
      <c r="D623" s="145"/>
      <c r="E623" s="143" t="s">
        <v>102</v>
      </c>
      <c r="F623" s="13">
        <f t="shared" si="172"/>
        <v>25.200000000000003</v>
      </c>
      <c r="G623" s="74">
        <v>0.1</v>
      </c>
      <c r="H623" s="27">
        <f t="shared" si="170"/>
        <v>27.720000000000006</v>
      </c>
      <c r="I623" s="28" t="s">
        <v>16</v>
      </c>
      <c r="J623" s="135">
        <f>J$558</f>
        <v>0</v>
      </c>
      <c r="K623" s="136">
        <f t="shared" si="171"/>
        <v>0</v>
      </c>
      <c r="L623" s="137"/>
    </row>
    <row r="624" spans="1:12" s="121" customFormat="1" x14ac:dyDescent="0.2">
      <c r="A624" s="72">
        <f>IF(F624&lt;&gt;"",1+MAX($A$1:A623),"")</f>
        <v>350</v>
      </c>
      <c r="B624" s="2" t="s">
        <v>88</v>
      </c>
      <c r="C624" s="200" t="s">
        <v>95</v>
      </c>
      <c r="D624" s="145"/>
      <c r="E624" s="143" t="s">
        <v>112</v>
      </c>
      <c r="F624" s="13">
        <f t="shared" si="172"/>
        <v>25.200000000000003</v>
      </c>
      <c r="G624" s="74">
        <v>0.1</v>
      </c>
      <c r="H624" s="27">
        <f t="shared" si="170"/>
        <v>27.720000000000006</v>
      </c>
      <c r="I624" s="28" t="s">
        <v>16</v>
      </c>
      <c r="J624" s="135">
        <f>J$600</f>
        <v>0</v>
      </c>
      <c r="K624" s="136">
        <f t="shared" si="171"/>
        <v>0</v>
      </c>
      <c r="L624" s="137"/>
    </row>
    <row r="625" spans="1:12" s="121" customFormat="1" x14ac:dyDescent="0.2">
      <c r="A625" s="72">
        <f>IF(F625&lt;&gt;"",1+MAX($A$1:A624),"")</f>
        <v>351</v>
      </c>
      <c r="B625" s="2" t="s">
        <v>88</v>
      </c>
      <c r="C625" s="200" t="s">
        <v>95</v>
      </c>
      <c r="D625" s="145"/>
      <c r="E625" s="143" t="s">
        <v>113</v>
      </c>
      <c r="F625" s="13">
        <f>2.1*2</f>
        <v>4.2</v>
      </c>
      <c r="G625" s="74">
        <v>0.1</v>
      </c>
      <c r="H625" s="27">
        <f t="shared" si="170"/>
        <v>4.620000000000001</v>
      </c>
      <c r="I625" s="28" t="s">
        <v>16</v>
      </c>
      <c r="J625" s="135">
        <f>J$601</f>
        <v>0</v>
      </c>
      <c r="K625" s="136">
        <f t="shared" si="171"/>
        <v>0</v>
      </c>
      <c r="L625" s="137"/>
    </row>
    <row r="626" spans="1:12" s="121" customFormat="1" x14ac:dyDescent="0.2">
      <c r="A626" s="72" t="str">
        <f>IF(F626&lt;&gt;"",1+MAX($A$1:A625),"")</f>
        <v/>
      </c>
      <c r="B626" s="2"/>
      <c r="C626" s="244"/>
      <c r="D626" s="145"/>
      <c r="E626" s="146"/>
      <c r="F626" s="147"/>
      <c r="G626" s="148"/>
      <c r="H626" s="27"/>
      <c r="I626" s="28"/>
      <c r="J626" s="135"/>
      <c r="K626" s="136"/>
      <c r="L626" s="137"/>
    </row>
    <row r="627" spans="1:12" s="121" customFormat="1" x14ac:dyDescent="0.2">
      <c r="A627" s="72" t="str">
        <f>IF(F627&lt;&gt;"",1+MAX($A$1:A626),"")</f>
        <v/>
      </c>
      <c r="B627" s="138"/>
      <c r="C627" s="219"/>
      <c r="D627" s="133"/>
      <c r="E627" s="139" t="s">
        <v>117</v>
      </c>
      <c r="F627" s="134"/>
      <c r="G627" s="20"/>
      <c r="H627" s="140"/>
      <c r="I627" s="4"/>
      <c r="J627" s="141"/>
      <c r="K627" s="142"/>
      <c r="L627" s="137"/>
    </row>
    <row r="628" spans="1:12" s="121" customFormat="1" x14ac:dyDescent="0.2">
      <c r="A628" s="72">
        <f>IF(F628&lt;&gt;"",1+MAX($A$1:A627),"")</f>
        <v>352</v>
      </c>
      <c r="B628" s="2" t="s">
        <v>88</v>
      </c>
      <c r="C628" s="200" t="s">
        <v>95</v>
      </c>
      <c r="D628" s="225"/>
      <c r="E628" s="143" t="s">
        <v>104</v>
      </c>
      <c r="F628" s="13">
        <f>19.6*12</f>
        <v>235.20000000000002</v>
      </c>
      <c r="G628" s="74">
        <v>0.1</v>
      </c>
      <c r="H628" s="27">
        <f>F628*(1+G628)</f>
        <v>258.72000000000003</v>
      </c>
      <c r="I628" s="28" t="s">
        <v>16</v>
      </c>
      <c r="J628" s="135">
        <f>J$512</f>
        <v>0</v>
      </c>
      <c r="K628" s="136">
        <f>J628*H628</f>
        <v>0</v>
      </c>
      <c r="L628" s="137"/>
    </row>
    <row r="629" spans="1:12" s="121" customFormat="1" x14ac:dyDescent="0.2">
      <c r="A629" s="72" t="str">
        <f>IF(F629&lt;&gt;"",1+MAX($A$1:A628),"")</f>
        <v/>
      </c>
      <c r="B629" s="30"/>
      <c r="C629" s="220"/>
      <c r="D629" s="145"/>
      <c r="E629" s="146" t="s">
        <v>22</v>
      </c>
      <c r="F629" s="147"/>
      <c r="G629" s="148"/>
      <c r="H629" s="27">
        <f>ROUNDUP((H628)/32,0)</f>
        <v>9</v>
      </c>
      <c r="I629" s="28" t="s">
        <v>23</v>
      </c>
      <c r="J629" s="135"/>
      <c r="K629" s="136"/>
      <c r="L629" s="137"/>
    </row>
    <row r="630" spans="1:12" s="121" customFormat="1" x14ac:dyDescent="0.2">
      <c r="A630" s="72" t="str">
        <f>IF(F630&lt;&gt;"",1+MAX($A$1:A629),"")</f>
        <v/>
      </c>
      <c r="B630" s="30"/>
      <c r="C630" s="220"/>
      <c r="D630" s="145"/>
      <c r="E630" s="146" t="s">
        <v>24</v>
      </c>
      <c r="F630" s="147"/>
      <c r="G630" s="148"/>
      <c r="H630" s="27">
        <f>ROUNDUP(H629*24/500,0)</f>
        <v>1</v>
      </c>
      <c r="I630" s="28" t="s">
        <v>25</v>
      </c>
      <c r="J630" s="135"/>
      <c r="K630" s="136"/>
      <c r="L630" s="137"/>
    </row>
    <row r="631" spans="1:12" s="121" customFormat="1" x14ac:dyDescent="0.2">
      <c r="A631" s="72" t="str">
        <f>IF(F631&lt;&gt;"",1+MAX($A$1:A630),"")</f>
        <v/>
      </c>
      <c r="B631" s="30"/>
      <c r="C631" s="220"/>
      <c r="D631" s="145"/>
      <c r="E631" s="146" t="s">
        <v>26</v>
      </c>
      <c r="F631" s="147"/>
      <c r="G631" s="148"/>
      <c r="H631" s="149">
        <f>ROUNDUP((H628)/200,0)</f>
        <v>2</v>
      </c>
      <c r="I631" s="28" t="s">
        <v>27</v>
      </c>
      <c r="J631" s="135"/>
      <c r="K631" s="136"/>
      <c r="L631" s="137"/>
    </row>
    <row r="632" spans="1:12" s="121" customFormat="1" x14ac:dyDescent="0.2">
      <c r="A632" s="72" t="str">
        <f>IF(F632&lt;&gt;"",1+MAX($A$1:A631),"")</f>
        <v/>
      </c>
      <c r="B632" s="30"/>
      <c r="C632" s="220"/>
      <c r="D632" s="145"/>
      <c r="E632" s="146" t="s">
        <v>28</v>
      </c>
      <c r="F632" s="147"/>
      <c r="G632" s="148"/>
      <c r="H632" s="149">
        <f>ROUNDUP((H628)*5.25/1000,0)</f>
        <v>2</v>
      </c>
      <c r="I632" s="28" t="s">
        <v>29</v>
      </c>
      <c r="J632" s="135"/>
      <c r="K632" s="136"/>
      <c r="L632" s="137"/>
    </row>
    <row r="633" spans="1:12" s="121" customFormat="1" x14ac:dyDescent="0.2">
      <c r="A633" s="72">
        <f>IF(F633&lt;&gt;"",1+MAX($A$1:A632),"")</f>
        <v>353</v>
      </c>
      <c r="B633" s="2" t="s">
        <v>88</v>
      </c>
      <c r="C633" s="200" t="s">
        <v>95</v>
      </c>
      <c r="D633" s="145"/>
      <c r="E633" s="143" t="s">
        <v>94</v>
      </c>
      <c r="F633" s="13">
        <f>19.6*2</f>
        <v>39.200000000000003</v>
      </c>
      <c r="G633" s="74">
        <v>0.1</v>
      </c>
      <c r="H633" s="27">
        <f t="shared" ref="H633:H634" si="173">F633*(1+G633)</f>
        <v>43.120000000000005</v>
      </c>
      <c r="I633" s="28" t="s">
        <v>13</v>
      </c>
      <c r="J633" s="135">
        <f>J$490</f>
        <v>0</v>
      </c>
      <c r="K633" s="136">
        <f t="shared" ref="K633:K634" si="174">J633*H633</f>
        <v>0</v>
      </c>
      <c r="L633" s="137"/>
    </row>
    <row r="634" spans="1:12" s="121" customFormat="1" x14ac:dyDescent="0.2">
      <c r="A634" s="72">
        <f>IF(F634&lt;&gt;"",1+MAX($A$1:A633),"")</f>
        <v>354</v>
      </c>
      <c r="B634" s="2" t="s">
        <v>88</v>
      </c>
      <c r="C634" s="200" t="s">
        <v>95</v>
      </c>
      <c r="D634" s="145"/>
      <c r="E634" s="143" t="s">
        <v>102</v>
      </c>
      <c r="F634" s="13">
        <f t="shared" ref="F634" si="175">19.6*12</f>
        <v>235.20000000000002</v>
      </c>
      <c r="G634" s="74">
        <v>0.1</v>
      </c>
      <c r="H634" s="27">
        <f t="shared" si="173"/>
        <v>258.72000000000003</v>
      </c>
      <c r="I634" s="28" t="s">
        <v>16</v>
      </c>
      <c r="J634" s="135">
        <f>J$558</f>
        <v>0</v>
      </c>
      <c r="K634" s="136">
        <f t="shared" si="174"/>
        <v>0</v>
      </c>
      <c r="L634" s="137"/>
    </row>
    <row r="635" spans="1:12" s="121" customFormat="1" x14ac:dyDescent="0.2">
      <c r="A635" s="72" t="str">
        <f>IF(F635&lt;&gt;"",1+MAX($A$1:A634),"")</f>
        <v/>
      </c>
      <c r="B635" s="2"/>
      <c r="C635" s="244"/>
      <c r="D635" s="145"/>
      <c r="E635" s="146"/>
      <c r="F635" s="147"/>
      <c r="G635" s="148"/>
      <c r="H635" s="27"/>
      <c r="I635" s="28"/>
      <c r="J635" s="135"/>
      <c r="K635" s="136"/>
      <c r="L635" s="137"/>
    </row>
    <row r="636" spans="1:12" s="121" customFormat="1" x14ac:dyDescent="0.2">
      <c r="A636" s="72" t="str">
        <f>IF(F636&lt;&gt;"",1+MAX($A$1:A635),"")</f>
        <v/>
      </c>
      <c r="B636" s="138"/>
      <c r="C636" s="219"/>
      <c r="D636" s="133"/>
      <c r="E636" s="139" t="s">
        <v>122</v>
      </c>
      <c r="F636" s="134"/>
      <c r="G636" s="20"/>
      <c r="H636" s="140"/>
      <c r="I636" s="4"/>
      <c r="J636" s="141"/>
      <c r="K636" s="142"/>
      <c r="L636" s="137"/>
    </row>
    <row r="637" spans="1:12" s="121" customFormat="1" x14ac:dyDescent="0.2">
      <c r="A637" s="72">
        <f>IF(F637&lt;&gt;"",1+MAX($A$1:A636),"")</f>
        <v>355</v>
      </c>
      <c r="B637" s="2" t="s">
        <v>88</v>
      </c>
      <c r="C637" s="200" t="s">
        <v>95</v>
      </c>
      <c r="D637" s="225"/>
      <c r="E637" s="143" t="s">
        <v>97</v>
      </c>
      <c r="F637" s="13">
        <f>12.3*12</f>
        <v>147.60000000000002</v>
      </c>
      <c r="G637" s="74">
        <v>0.1</v>
      </c>
      <c r="H637" s="27">
        <f>F637*(1+G637)</f>
        <v>162.36000000000004</v>
      </c>
      <c r="I637" s="28" t="s">
        <v>16</v>
      </c>
      <c r="J637" s="135">
        <f>J$485</f>
        <v>0</v>
      </c>
      <c r="K637" s="136">
        <f>J637*H637</f>
        <v>0</v>
      </c>
      <c r="L637" s="137"/>
    </row>
    <row r="638" spans="1:12" s="121" customFormat="1" x14ac:dyDescent="0.2">
      <c r="A638" s="72" t="str">
        <f>IF(F638&lt;&gt;"",1+MAX($A$1:A637),"")</f>
        <v/>
      </c>
      <c r="B638" s="30"/>
      <c r="C638" s="220"/>
      <c r="D638" s="145"/>
      <c r="E638" s="146" t="s">
        <v>22</v>
      </c>
      <c r="F638" s="147"/>
      <c r="G638" s="148"/>
      <c r="H638" s="27">
        <f>ROUNDUP((H637)/32,0)</f>
        <v>6</v>
      </c>
      <c r="I638" s="28" t="s">
        <v>23</v>
      </c>
      <c r="J638" s="135"/>
      <c r="K638" s="136"/>
      <c r="L638" s="137"/>
    </row>
    <row r="639" spans="1:12" s="121" customFormat="1" x14ac:dyDescent="0.2">
      <c r="A639" s="72" t="str">
        <f>IF(F639&lt;&gt;"",1+MAX($A$1:A638),"")</f>
        <v/>
      </c>
      <c r="B639" s="30"/>
      <c r="C639" s="220"/>
      <c r="D639" s="145"/>
      <c r="E639" s="146" t="s">
        <v>24</v>
      </c>
      <c r="F639" s="147"/>
      <c r="G639" s="148"/>
      <c r="H639" s="27">
        <f>ROUNDUP(H638*24/500,0)</f>
        <v>1</v>
      </c>
      <c r="I639" s="28" t="s">
        <v>25</v>
      </c>
      <c r="J639" s="135"/>
      <c r="K639" s="136"/>
      <c r="L639" s="137"/>
    </row>
    <row r="640" spans="1:12" s="121" customFormat="1" x14ac:dyDescent="0.2">
      <c r="A640" s="72" t="str">
        <f>IF(F640&lt;&gt;"",1+MAX($A$1:A639),"")</f>
        <v/>
      </c>
      <c r="B640" s="30"/>
      <c r="C640" s="220"/>
      <c r="D640" s="145"/>
      <c r="E640" s="146" t="s">
        <v>26</v>
      </c>
      <c r="F640" s="147"/>
      <c r="G640" s="148"/>
      <c r="H640" s="149">
        <f>ROUNDUP((H637)/200,0)</f>
        <v>1</v>
      </c>
      <c r="I640" s="28" t="s">
        <v>27</v>
      </c>
      <c r="J640" s="135"/>
      <c r="K640" s="136"/>
      <c r="L640" s="137"/>
    </row>
    <row r="641" spans="1:12" s="121" customFormat="1" x14ac:dyDescent="0.2">
      <c r="A641" s="72" t="str">
        <f>IF(F641&lt;&gt;"",1+MAX($A$1:A640),"")</f>
        <v/>
      </c>
      <c r="B641" s="30"/>
      <c r="C641" s="220"/>
      <c r="D641" s="145"/>
      <c r="E641" s="146" t="s">
        <v>28</v>
      </c>
      <c r="F641" s="147"/>
      <c r="G641" s="148"/>
      <c r="H641" s="149">
        <f>ROUNDUP((H637)*5.25/1000,0)</f>
        <v>1</v>
      </c>
      <c r="I641" s="28" t="s">
        <v>29</v>
      </c>
      <c r="J641" s="135"/>
      <c r="K641" s="136"/>
      <c r="L641" s="137"/>
    </row>
    <row r="642" spans="1:12" s="121" customFormat="1" x14ac:dyDescent="0.2">
      <c r="A642" s="72">
        <f>IF(F642&lt;&gt;"",1+MAX($A$1:A641),"")</f>
        <v>356</v>
      </c>
      <c r="B642" s="2" t="s">
        <v>88</v>
      </c>
      <c r="C642" s="200" t="s">
        <v>95</v>
      </c>
      <c r="D642" s="145"/>
      <c r="E642" s="143" t="s">
        <v>94</v>
      </c>
      <c r="F642" s="13">
        <f>12.3*2</f>
        <v>24.6</v>
      </c>
      <c r="G642" s="74">
        <v>0.1</v>
      </c>
      <c r="H642" s="27">
        <f t="shared" ref="H642:H643" si="176">F642*(1+G642)</f>
        <v>27.060000000000002</v>
      </c>
      <c r="I642" s="28" t="s">
        <v>13</v>
      </c>
      <c r="J642" s="135">
        <f>J$490</f>
        <v>0</v>
      </c>
      <c r="K642" s="136">
        <f t="shared" ref="K642:K643" si="177">J642*H642</f>
        <v>0</v>
      </c>
      <c r="L642" s="137"/>
    </row>
    <row r="643" spans="1:12" s="121" customFormat="1" x14ac:dyDescent="0.2">
      <c r="A643" s="72">
        <f>IF(F643&lt;&gt;"",1+MAX($A$1:A642),"")</f>
        <v>357</v>
      </c>
      <c r="B643" s="2" t="s">
        <v>88</v>
      </c>
      <c r="C643" s="200" t="s">
        <v>95</v>
      </c>
      <c r="D643" s="468"/>
      <c r="E643" s="143" t="s">
        <v>123</v>
      </c>
      <c r="F643" s="13">
        <f t="shared" ref="F643" si="178">12.3*12</f>
        <v>147.60000000000002</v>
      </c>
      <c r="G643" s="74">
        <v>0.1</v>
      </c>
      <c r="H643" s="27">
        <f t="shared" si="176"/>
        <v>162.36000000000004</v>
      </c>
      <c r="I643" s="28" t="s">
        <v>16</v>
      </c>
      <c r="J643" s="135">
        <f>J$500</f>
        <v>0</v>
      </c>
      <c r="K643" s="136">
        <f t="shared" si="177"/>
        <v>0</v>
      </c>
      <c r="L643" s="137"/>
    </row>
    <row r="644" spans="1:12" s="121" customFormat="1" x14ac:dyDescent="0.2">
      <c r="A644" s="72" t="str">
        <f>IF(F644&lt;&gt;"",1+MAX($A$1:A643),"")</f>
        <v/>
      </c>
      <c r="B644" s="2"/>
      <c r="C644" s="244"/>
      <c r="D644" s="145"/>
      <c r="E644" s="146"/>
      <c r="F644" s="147"/>
      <c r="G644" s="148"/>
      <c r="H644" s="27"/>
      <c r="I644" s="28"/>
      <c r="J644" s="135"/>
      <c r="K644" s="136"/>
      <c r="L644" s="137"/>
    </row>
    <row r="645" spans="1:12" s="121" customFormat="1" x14ac:dyDescent="0.2">
      <c r="A645" s="72" t="str">
        <f>IF(F645&lt;&gt;"",1+MAX($A$1:A644),"")</f>
        <v/>
      </c>
      <c r="B645" s="138"/>
      <c r="C645" s="219"/>
      <c r="D645" s="133"/>
      <c r="E645" s="139" t="s">
        <v>128</v>
      </c>
      <c r="F645" s="134"/>
      <c r="G645" s="20"/>
      <c r="H645" s="140"/>
      <c r="I645" s="4"/>
      <c r="J645" s="141"/>
      <c r="K645" s="142"/>
      <c r="L645" s="137"/>
    </row>
    <row r="646" spans="1:12" s="121" customFormat="1" x14ac:dyDescent="0.2">
      <c r="A646" s="72">
        <f>IF(F646&lt;&gt;"",1+MAX($A$1:A645),"")</f>
        <v>358</v>
      </c>
      <c r="B646" s="2" t="s">
        <v>88</v>
      </c>
      <c r="C646" s="200" t="s">
        <v>95</v>
      </c>
      <c r="D646" s="225"/>
      <c r="E646" s="143" t="s">
        <v>104</v>
      </c>
      <c r="F646" s="13">
        <f>277.4*10</f>
        <v>2774</v>
      </c>
      <c r="G646" s="74">
        <v>0.1</v>
      </c>
      <c r="H646" s="27">
        <f>F646*(1+G646)</f>
        <v>3051.4</v>
      </c>
      <c r="I646" s="28" t="s">
        <v>16</v>
      </c>
      <c r="J646" s="135">
        <f>J$512</f>
        <v>0</v>
      </c>
      <c r="K646" s="136">
        <f>J646*H646</f>
        <v>0</v>
      </c>
      <c r="L646" s="137"/>
    </row>
    <row r="647" spans="1:12" s="121" customFormat="1" x14ac:dyDescent="0.2">
      <c r="A647" s="72" t="str">
        <f>IF(F647&lt;&gt;"",1+MAX($A$1:A646),"")</f>
        <v/>
      </c>
      <c r="B647" s="30"/>
      <c r="C647" s="220"/>
      <c r="D647" s="145"/>
      <c r="E647" s="146" t="s">
        <v>22</v>
      </c>
      <c r="F647" s="147"/>
      <c r="G647" s="148"/>
      <c r="H647" s="27">
        <f>ROUNDUP((H646)/32,0)</f>
        <v>96</v>
      </c>
      <c r="I647" s="28" t="s">
        <v>23</v>
      </c>
      <c r="J647" s="135"/>
      <c r="K647" s="136"/>
      <c r="L647" s="137"/>
    </row>
    <row r="648" spans="1:12" s="121" customFormat="1" x14ac:dyDescent="0.2">
      <c r="A648" s="72" t="str">
        <f>IF(F648&lt;&gt;"",1+MAX($A$1:A647),"")</f>
        <v/>
      </c>
      <c r="B648" s="30"/>
      <c r="C648" s="220"/>
      <c r="D648" s="145"/>
      <c r="E648" s="146" t="s">
        <v>24</v>
      </c>
      <c r="F648" s="147"/>
      <c r="G648" s="148"/>
      <c r="H648" s="27">
        <f>ROUNDUP(H647*24/500,0)</f>
        <v>5</v>
      </c>
      <c r="I648" s="28" t="s">
        <v>25</v>
      </c>
      <c r="J648" s="135"/>
      <c r="K648" s="136"/>
      <c r="L648" s="137"/>
    </row>
    <row r="649" spans="1:12" s="121" customFormat="1" x14ac:dyDescent="0.2">
      <c r="A649" s="72" t="str">
        <f>IF(F649&lt;&gt;"",1+MAX($A$1:A648),"")</f>
        <v/>
      </c>
      <c r="B649" s="30"/>
      <c r="C649" s="220"/>
      <c r="D649" s="145"/>
      <c r="E649" s="146" t="s">
        <v>26</v>
      </c>
      <c r="F649" s="147"/>
      <c r="G649" s="148"/>
      <c r="H649" s="149">
        <f>ROUNDUP((H646)/200,0)</f>
        <v>16</v>
      </c>
      <c r="I649" s="28" t="s">
        <v>27</v>
      </c>
      <c r="J649" s="135"/>
      <c r="K649" s="136"/>
      <c r="L649" s="137"/>
    </row>
    <row r="650" spans="1:12" s="121" customFormat="1" x14ac:dyDescent="0.2">
      <c r="A650" s="72" t="str">
        <f>IF(F650&lt;&gt;"",1+MAX($A$1:A649),"")</f>
        <v/>
      </c>
      <c r="B650" s="30"/>
      <c r="C650" s="220"/>
      <c r="D650" s="145"/>
      <c r="E650" s="146" t="s">
        <v>28</v>
      </c>
      <c r="F650" s="147"/>
      <c r="G650" s="148"/>
      <c r="H650" s="149">
        <f>ROUNDUP((H646)*5.25/1000,0)</f>
        <v>17</v>
      </c>
      <c r="I650" s="28" t="s">
        <v>29</v>
      </c>
      <c r="J650" s="135"/>
      <c r="K650" s="136"/>
      <c r="L650" s="137"/>
    </row>
    <row r="651" spans="1:12" s="121" customFormat="1" x14ac:dyDescent="0.2">
      <c r="A651" s="72">
        <f>IF(F651&lt;&gt;"",1+MAX($A$1:A650),"")</f>
        <v>359</v>
      </c>
      <c r="B651" s="2" t="s">
        <v>88</v>
      </c>
      <c r="C651" s="200" t="s">
        <v>95</v>
      </c>
      <c r="D651" s="145"/>
      <c r="E651" s="143" t="s">
        <v>94</v>
      </c>
      <c r="F651" s="13">
        <f>277.4*2</f>
        <v>554.79999999999995</v>
      </c>
      <c r="G651" s="74">
        <v>0.1</v>
      </c>
      <c r="H651" s="27">
        <f t="shared" ref="H651:H652" si="179">F651*(1+G651)</f>
        <v>610.28</v>
      </c>
      <c r="I651" s="28" t="s">
        <v>13</v>
      </c>
      <c r="J651" s="135">
        <f>J$490</f>
        <v>0</v>
      </c>
      <c r="K651" s="136">
        <f t="shared" ref="K651:K652" si="180">J651*H651</f>
        <v>0</v>
      </c>
      <c r="L651" s="137"/>
    </row>
    <row r="652" spans="1:12" s="121" customFormat="1" x14ac:dyDescent="0.2">
      <c r="A652" s="72">
        <f>IF(F652&lt;&gt;"",1+MAX($A$1:A651),"")</f>
        <v>360</v>
      </c>
      <c r="B652" s="2" t="s">
        <v>88</v>
      </c>
      <c r="C652" s="200" t="s">
        <v>95</v>
      </c>
      <c r="D652" s="145"/>
      <c r="E652" s="143" t="s">
        <v>129</v>
      </c>
      <c r="F652" s="13">
        <f>277.4*12</f>
        <v>3328.7999999999997</v>
      </c>
      <c r="G652" s="74">
        <v>0.1</v>
      </c>
      <c r="H652" s="27">
        <f t="shared" si="179"/>
        <v>3661.68</v>
      </c>
      <c r="I652" s="28" t="s">
        <v>16</v>
      </c>
      <c r="J652" s="144">
        <v>0</v>
      </c>
      <c r="K652" s="136">
        <f t="shared" si="180"/>
        <v>0</v>
      </c>
      <c r="L652" s="137"/>
    </row>
    <row r="653" spans="1:12" s="121" customFormat="1" ht="16.5" thickBot="1" x14ac:dyDescent="0.25">
      <c r="A653" s="72" t="str">
        <f>IF(F653&lt;&gt;"",1+MAX($A$1:A652),"")</f>
        <v/>
      </c>
      <c r="B653" s="30"/>
      <c r="C653" s="220"/>
      <c r="D653" s="145"/>
      <c r="E653" s="146"/>
      <c r="F653" s="147"/>
      <c r="G653" s="148"/>
      <c r="H653" s="27"/>
      <c r="I653" s="28"/>
      <c r="J653" s="135"/>
      <c r="K653" s="136"/>
      <c r="L653" s="137"/>
    </row>
    <row r="654" spans="1:12" s="121" customFormat="1" ht="16.5" thickBot="1" x14ac:dyDescent="0.25">
      <c r="A654" s="72" t="str">
        <f>IF(F654&lt;&gt;"",1+MAX($A$1:A653),"")</f>
        <v/>
      </c>
      <c r="B654" s="2"/>
      <c r="C654" s="244"/>
      <c r="D654" s="247"/>
      <c r="E654" s="249" t="s">
        <v>143</v>
      </c>
      <c r="F654" s="248"/>
      <c r="G654" s="20"/>
      <c r="H654" s="140"/>
      <c r="I654" s="4"/>
      <c r="J654" s="141"/>
      <c r="K654" s="142"/>
      <c r="L654" s="137"/>
    </row>
    <row r="655" spans="1:12" s="121" customFormat="1" x14ac:dyDescent="0.2">
      <c r="A655" s="72" t="str">
        <f>IF(F655&lt;&gt;"",1+MAX($A$1:A654),"")</f>
        <v/>
      </c>
      <c r="B655" s="138"/>
      <c r="C655" s="219"/>
      <c r="D655" s="133"/>
      <c r="E655" s="139" t="s">
        <v>92</v>
      </c>
      <c r="F655" s="134"/>
      <c r="G655" s="20"/>
      <c r="H655" s="140"/>
      <c r="I655" s="4"/>
      <c r="J655" s="141"/>
      <c r="K655" s="142"/>
      <c r="L655" s="137"/>
    </row>
    <row r="656" spans="1:12" s="121" customFormat="1" x14ac:dyDescent="0.2">
      <c r="A656" s="72">
        <f>IF(F656&lt;&gt;"",1+MAX($A$1:A655),"")</f>
        <v>361</v>
      </c>
      <c r="B656" s="2" t="s">
        <v>88</v>
      </c>
      <c r="C656" s="200" t="s">
        <v>95</v>
      </c>
      <c r="D656" s="225"/>
      <c r="E656" s="143" t="s">
        <v>91</v>
      </c>
      <c r="F656" s="13">
        <f>239*10*2+123*10</f>
        <v>6010</v>
      </c>
      <c r="G656" s="74">
        <v>0.1</v>
      </c>
      <c r="H656" s="27">
        <f>F656*(1+G656)</f>
        <v>6611.0000000000009</v>
      </c>
      <c r="I656" s="28" t="s">
        <v>16</v>
      </c>
      <c r="J656" s="135">
        <f>J$485</f>
        <v>0</v>
      </c>
      <c r="K656" s="136">
        <f>J656*H656</f>
        <v>0</v>
      </c>
      <c r="L656" s="137"/>
    </row>
    <row r="657" spans="1:12" s="121" customFormat="1" x14ac:dyDescent="0.2">
      <c r="A657" s="72">
        <f>IF(F657&lt;&gt;"",1+MAX($A$1:A656),"")</f>
        <v>362</v>
      </c>
      <c r="B657" s="2" t="s">
        <v>88</v>
      </c>
      <c r="C657" s="200" t="s">
        <v>95</v>
      </c>
      <c r="D657" s="225"/>
      <c r="E657" s="143" t="s">
        <v>93</v>
      </c>
      <c r="F657" s="13">
        <f>123*10</f>
        <v>1230</v>
      </c>
      <c r="G657" s="74">
        <v>0.1</v>
      </c>
      <c r="H657" s="27">
        <f>F657*(1+G657)</f>
        <v>1353</v>
      </c>
      <c r="I657" s="28" t="s">
        <v>16</v>
      </c>
      <c r="J657" s="135">
        <f>J$523</f>
        <v>0</v>
      </c>
      <c r="K657" s="136">
        <f>J657*H657</f>
        <v>0</v>
      </c>
      <c r="L657" s="137"/>
    </row>
    <row r="658" spans="1:12" s="121" customFormat="1" x14ac:dyDescent="0.2">
      <c r="A658" s="72" t="str">
        <f>IF(F658&lt;&gt;"",1+MAX($A$1:A657),"")</f>
        <v/>
      </c>
      <c r="B658" s="30"/>
      <c r="C658" s="220"/>
      <c r="D658" s="145"/>
      <c r="E658" s="146" t="s">
        <v>22</v>
      </c>
      <c r="F658" s="147"/>
      <c r="G658" s="148"/>
      <c r="H658" s="27">
        <f>ROUNDUP((H657+H656)/32,0)</f>
        <v>249</v>
      </c>
      <c r="I658" s="28" t="s">
        <v>23</v>
      </c>
      <c r="J658" s="135"/>
      <c r="K658" s="136"/>
      <c r="L658" s="137"/>
    </row>
    <row r="659" spans="1:12" s="121" customFormat="1" x14ac:dyDescent="0.2">
      <c r="A659" s="72" t="str">
        <f>IF(F659&lt;&gt;"",1+MAX($A$1:A658),"")</f>
        <v/>
      </c>
      <c r="B659" s="30"/>
      <c r="C659" s="220"/>
      <c r="D659" s="145"/>
      <c r="E659" s="146" t="s">
        <v>24</v>
      </c>
      <c r="F659" s="147"/>
      <c r="G659" s="148"/>
      <c r="H659" s="27">
        <f>ROUNDUP(H658*24/500,0)</f>
        <v>12</v>
      </c>
      <c r="I659" s="28" t="s">
        <v>25</v>
      </c>
      <c r="J659" s="135"/>
      <c r="K659" s="136"/>
      <c r="L659" s="137"/>
    </row>
    <row r="660" spans="1:12" s="121" customFormat="1" x14ac:dyDescent="0.2">
      <c r="A660" s="72" t="str">
        <f>IF(F660&lt;&gt;"",1+MAX($A$1:A659),"")</f>
        <v/>
      </c>
      <c r="B660" s="30"/>
      <c r="C660" s="220"/>
      <c r="D660" s="145"/>
      <c r="E660" s="146" t="s">
        <v>26</v>
      </c>
      <c r="F660" s="147"/>
      <c r="G660" s="148"/>
      <c r="H660" s="149">
        <f>ROUNDUP((H657+H656)/200,0)</f>
        <v>40</v>
      </c>
      <c r="I660" s="28" t="s">
        <v>27</v>
      </c>
      <c r="J660" s="135"/>
      <c r="K660" s="136"/>
      <c r="L660" s="137"/>
    </row>
    <row r="661" spans="1:12" s="121" customFormat="1" x14ac:dyDescent="0.2">
      <c r="A661" s="72" t="str">
        <f>IF(F661&lt;&gt;"",1+MAX($A$1:A660),"")</f>
        <v/>
      </c>
      <c r="B661" s="30"/>
      <c r="C661" s="220"/>
      <c r="D661" s="145"/>
      <c r="E661" s="146" t="s">
        <v>28</v>
      </c>
      <c r="F661" s="147"/>
      <c r="G661" s="148"/>
      <c r="H661" s="149">
        <f>ROUNDUP((H657+H656)*5.25/1000,0)</f>
        <v>42</v>
      </c>
      <c r="I661" s="28" t="s">
        <v>29</v>
      </c>
      <c r="J661" s="135"/>
      <c r="K661" s="136"/>
      <c r="L661" s="137"/>
    </row>
    <row r="662" spans="1:12" s="121" customFormat="1" x14ac:dyDescent="0.2">
      <c r="A662" s="72">
        <f>IF(F662&lt;&gt;"",1+MAX($A$1:A661),"")</f>
        <v>363</v>
      </c>
      <c r="B662" s="2" t="s">
        <v>88</v>
      </c>
      <c r="C662" s="200" t="s">
        <v>95</v>
      </c>
      <c r="D662" s="145"/>
      <c r="E662" s="143" t="s">
        <v>94</v>
      </c>
      <c r="F662" s="13">
        <f>362*4</f>
        <v>1448</v>
      </c>
      <c r="G662" s="74">
        <v>0.1</v>
      </c>
      <c r="H662" s="27">
        <f t="shared" ref="H662" si="181">F662*(1+G662)</f>
        <v>1592.8000000000002</v>
      </c>
      <c r="I662" s="28" t="s">
        <v>13</v>
      </c>
      <c r="J662" s="135">
        <f>J$490</f>
        <v>0</v>
      </c>
      <c r="K662" s="136">
        <f t="shared" ref="K662" si="182">J662*H662</f>
        <v>0</v>
      </c>
      <c r="L662" s="137"/>
    </row>
    <row r="663" spans="1:12" s="121" customFormat="1" x14ac:dyDescent="0.2">
      <c r="A663" s="72">
        <f>IF(F663&lt;&gt;"",1+MAX($A$1:A662),"")</f>
        <v>364</v>
      </c>
      <c r="B663" s="2" t="s">
        <v>88</v>
      </c>
      <c r="C663" s="200" t="s">
        <v>95</v>
      </c>
      <c r="D663" s="145"/>
      <c r="E663" s="143" t="s">
        <v>99</v>
      </c>
      <c r="F663" s="13">
        <f>362*10</f>
        <v>3620</v>
      </c>
      <c r="G663" s="74">
        <v>0.1</v>
      </c>
      <c r="H663" s="27">
        <f t="shared" ref="H663" si="183">F663*(1+G663)</f>
        <v>3982.0000000000005</v>
      </c>
      <c r="I663" s="28" t="s">
        <v>16</v>
      </c>
      <c r="J663" s="135">
        <f>J$491</f>
        <v>0</v>
      </c>
      <c r="K663" s="136">
        <f t="shared" ref="K663" si="184">J663*H663</f>
        <v>0</v>
      </c>
      <c r="L663" s="137"/>
    </row>
    <row r="664" spans="1:12" s="121" customFormat="1" x14ac:dyDescent="0.2">
      <c r="A664" s="72" t="str">
        <f>IF(F664&lt;&gt;"",1+MAX($A$1:A663),"")</f>
        <v/>
      </c>
      <c r="B664" s="2"/>
      <c r="C664" s="244"/>
      <c r="D664" s="145"/>
      <c r="E664" s="146"/>
      <c r="F664" s="147"/>
      <c r="G664" s="148"/>
      <c r="H664" s="27"/>
      <c r="I664" s="28"/>
      <c r="J664" s="135"/>
      <c r="K664" s="136"/>
      <c r="L664" s="137"/>
    </row>
    <row r="665" spans="1:12" s="121" customFormat="1" x14ac:dyDescent="0.2">
      <c r="A665" s="72" t="str">
        <f>IF(F665&lt;&gt;"",1+MAX($A$1:A664),"")</f>
        <v/>
      </c>
      <c r="B665" s="138"/>
      <c r="C665" s="219"/>
      <c r="D665" s="133"/>
      <c r="E665" s="139" t="s">
        <v>96</v>
      </c>
      <c r="F665" s="134"/>
      <c r="G665" s="20"/>
      <c r="H665" s="140"/>
      <c r="I665" s="4"/>
      <c r="J665" s="141"/>
      <c r="K665" s="142"/>
      <c r="L665" s="137"/>
    </row>
    <row r="666" spans="1:12" s="121" customFormat="1" x14ac:dyDescent="0.2">
      <c r="A666" s="72">
        <f>IF(F666&lt;&gt;"",1+MAX($A$1:A665),"")</f>
        <v>365</v>
      </c>
      <c r="B666" s="2" t="s">
        <v>88</v>
      </c>
      <c r="C666" s="200" t="s">
        <v>95</v>
      </c>
      <c r="D666" s="225"/>
      <c r="E666" s="143" t="s">
        <v>93</v>
      </c>
      <c r="F666" s="13">
        <f>23.4*10</f>
        <v>234</v>
      </c>
      <c r="G666" s="74">
        <v>0.1</v>
      </c>
      <c r="H666" s="27">
        <f>F666*(1+G666)</f>
        <v>257.40000000000003</v>
      </c>
      <c r="I666" s="28" t="s">
        <v>16</v>
      </c>
      <c r="J666" s="135">
        <f>J$523</f>
        <v>0</v>
      </c>
      <c r="K666" s="136">
        <f>J666*H666</f>
        <v>0</v>
      </c>
      <c r="L666" s="137"/>
    </row>
    <row r="667" spans="1:12" s="121" customFormat="1" x14ac:dyDescent="0.2">
      <c r="A667" s="72" t="str">
        <f>IF(F667&lt;&gt;"",1+MAX($A$1:A666),"")</f>
        <v/>
      </c>
      <c r="B667" s="30"/>
      <c r="C667" s="220"/>
      <c r="D667" s="145"/>
      <c r="E667" s="146" t="s">
        <v>22</v>
      </c>
      <c r="F667" s="147"/>
      <c r="G667" s="148"/>
      <c r="H667" s="27">
        <f>ROUNDUP((H666)/32,0)</f>
        <v>9</v>
      </c>
      <c r="I667" s="28" t="s">
        <v>23</v>
      </c>
      <c r="J667" s="135"/>
      <c r="K667" s="136"/>
      <c r="L667" s="137"/>
    </row>
    <row r="668" spans="1:12" s="121" customFormat="1" x14ac:dyDescent="0.2">
      <c r="A668" s="72" t="str">
        <f>IF(F668&lt;&gt;"",1+MAX($A$1:A667),"")</f>
        <v/>
      </c>
      <c r="B668" s="30"/>
      <c r="C668" s="220"/>
      <c r="D668" s="145"/>
      <c r="E668" s="146" t="s">
        <v>24</v>
      </c>
      <c r="F668" s="147"/>
      <c r="G668" s="148"/>
      <c r="H668" s="27">
        <f>ROUNDUP(H667*24/500,0)</f>
        <v>1</v>
      </c>
      <c r="I668" s="28" t="s">
        <v>25</v>
      </c>
      <c r="J668" s="135"/>
      <c r="K668" s="136"/>
      <c r="L668" s="137"/>
    </row>
    <row r="669" spans="1:12" s="121" customFormat="1" x14ac:dyDescent="0.2">
      <c r="A669" s="72" t="str">
        <f>IF(F669&lt;&gt;"",1+MAX($A$1:A668),"")</f>
        <v/>
      </c>
      <c r="B669" s="30"/>
      <c r="C669" s="220"/>
      <c r="D669" s="145"/>
      <c r="E669" s="146" t="s">
        <v>26</v>
      </c>
      <c r="F669" s="147"/>
      <c r="G669" s="148"/>
      <c r="H669" s="149">
        <f>ROUNDUP((H666)/200,0)</f>
        <v>2</v>
      </c>
      <c r="I669" s="28" t="s">
        <v>27</v>
      </c>
      <c r="J669" s="135"/>
      <c r="K669" s="136"/>
      <c r="L669" s="137"/>
    </row>
    <row r="670" spans="1:12" s="121" customFormat="1" x14ac:dyDescent="0.2">
      <c r="A670" s="72" t="str">
        <f>IF(F670&lt;&gt;"",1+MAX($A$1:A669),"")</f>
        <v/>
      </c>
      <c r="B670" s="30"/>
      <c r="C670" s="220"/>
      <c r="D670" s="145"/>
      <c r="E670" s="146" t="s">
        <v>28</v>
      </c>
      <c r="F670" s="147"/>
      <c r="G670" s="148"/>
      <c r="H670" s="149">
        <f>ROUNDUP((H666)*5.25/1000,0)</f>
        <v>2</v>
      </c>
      <c r="I670" s="28" t="s">
        <v>29</v>
      </c>
      <c r="J670" s="135"/>
      <c r="K670" s="136"/>
      <c r="L670" s="137"/>
    </row>
    <row r="671" spans="1:12" s="121" customFormat="1" x14ac:dyDescent="0.2">
      <c r="A671" s="72">
        <f>IF(F671&lt;&gt;"",1+MAX($A$1:A670),"")</f>
        <v>366</v>
      </c>
      <c r="B671" s="2" t="s">
        <v>88</v>
      </c>
      <c r="C671" s="200" t="s">
        <v>95</v>
      </c>
      <c r="D671" s="145"/>
      <c r="E671" s="143" t="s">
        <v>94</v>
      </c>
      <c r="F671" s="13">
        <f>23.4*2</f>
        <v>46.8</v>
      </c>
      <c r="G671" s="74">
        <v>0.1</v>
      </c>
      <c r="H671" s="27">
        <f t="shared" ref="H671:H672" si="185">F671*(1+G671)</f>
        <v>51.480000000000004</v>
      </c>
      <c r="I671" s="28" t="s">
        <v>13</v>
      </c>
      <c r="J671" s="135">
        <f>J$490</f>
        <v>0</v>
      </c>
      <c r="K671" s="136">
        <f t="shared" ref="K671:K672" si="186">J671*H671</f>
        <v>0</v>
      </c>
      <c r="L671" s="137"/>
    </row>
    <row r="672" spans="1:12" s="121" customFormat="1" x14ac:dyDescent="0.2">
      <c r="A672" s="72">
        <f>IF(F672&lt;&gt;"",1+MAX($A$1:A671),"")</f>
        <v>367</v>
      </c>
      <c r="B672" s="2" t="s">
        <v>88</v>
      </c>
      <c r="C672" s="200" t="s">
        <v>95</v>
      </c>
      <c r="D672" s="145"/>
      <c r="E672" s="143" t="s">
        <v>99</v>
      </c>
      <c r="F672" s="13">
        <f>23.4*10</f>
        <v>234</v>
      </c>
      <c r="G672" s="74">
        <v>0.1</v>
      </c>
      <c r="H672" s="27">
        <f t="shared" si="185"/>
        <v>257.40000000000003</v>
      </c>
      <c r="I672" s="28" t="s">
        <v>16</v>
      </c>
      <c r="J672" s="135">
        <f>J$491</f>
        <v>0</v>
      </c>
      <c r="K672" s="136">
        <f t="shared" si="186"/>
        <v>0</v>
      </c>
      <c r="L672" s="137"/>
    </row>
    <row r="673" spans="1:12" s="121" customFormat="1" x14ac:dyDescent="0.2">
      <c r="A673" s="72" t="str">
        <f>IF(F673&lt;&gt;"",1+MAX($A$1:A672),"")</f>
        <v/>
      </c>
      <c r="B673" s="2"/>
      <c r="C673" s="244"/>
      <c r="D673" s="145"/>
      <c r="E673" s="146"/>
      <c r="F673" s="147"/>
      <c r="G673" s="148"/>
      <c r="H673" s="27"/>
      <c r="I673" s="28"/>
      <c r="J673" s="135"/>
      <c r="K673" s="136"/>
      <c r="L673" s="137"/>
    </row>
    <row r="674" spans="1:12" s="121" customFormat="1" x14ac:dyDescent="0.2">
      <c r="A674" s="72" t="str">
        <f>IF(F674&lt;&gt;"",1+MAX($A$1:A673),"")</f>
        <v/>
      </c>
      <c r="B674" s="138"/>
      <c r="C674" s="219"/>
      <c r="D674" s="133"/>
      <c r="E674" s="139" t="s">
        <v>98</v>
      </c>
      <c r="F674" s="134"/>
      <c r="G674" s="20"/>
      <c r="H674" s="140"/>
      <c r="I674" s="4"/>
      <c r="J674" s="141"/>
      <c r="K674" s="142"/>
      <c r="L674" s="137"/>
    </row>
    <row r="675" spans="1:12" s="121" customFormat="1" x14ac:dyDescent="0.2">
      <c r="A675" s="72">
        <f>IF(F675&lt;&gt;"",1+MAX($A$1:A674),"")</f>
        <v>368</v>
      </c>
      <c r="B675" s="2" t="s">
        <v>88</v>
      </c>
      <c r="C675" s="200" t="s">
        <v>95</v>
      </c>
      <c r="D675" s="225"/>
      <c r="E675" s="143" t="s">
        <v>91</v>
      </c>
      <c r="F675" s="13">
        <f>8.9*10*2+11.4*10</f>
        <v>292</v>
      </c>
      <c r="G675" s="74">
        <v>0.1</v>
      </c>
      <c r="H675" s="27">
        <f>F675*(1+G675)</f>
        <v>321.20000000000005</v>
      </c>
      <c r="I675" s="28" t="s">
        <v>16</v>
      </c>
      <c r="J675" s="135">
        <f>J$485</f>
        <v>0</v>
      </c>
      <c r="K675" s="136">
        <f>J675*H675</f>
        <v>0</v>
      </c>
      <c r="L675" s="137"/>
    </row>
    <row r="676" spans="1:12" s="121" customFormat="1" x14ac:dyDescent="0.2">
      <c r="A676" s="72">
        <f>IF(F676&lt;&gt;"",1+MAX($A$1:A675),"")</f>
        <v>369</v>
      </c>
      <c r="B676" s="2" t="s">
        <v>88</v>
      </c>
      <c r="C676" s="200" t="s">
        <v>95</v>
      </c>
      <c r="D676" s="225"/>
      <c r="E676" s="143" t="s">
        <v>93</v>
      </c>
      <c r="F676" s="13">
        <f>7.1*10*2+11.4*10</f>
        <v>256</v>
      </c>
      <c r="G676" s="74">
        <v>0.1</v>
      </c>
      <c r="H676" s="27">
        <f>F676*(1+G676)</f>
        <v>281.60000000000002</v>
      </c>
      <c r="I676" s="28" t="s">
        <v>16</v>
      </c>
      <c r="J676" s="135">
        <f>J$523</f>
        <v>0</v>
      </c>
      <c r="K676" s="136">
        <f>J676*H676</f>
        <v>0</v>
      </c>
      <c r="L676" s="137"/>
    </row>
    <row r="677" spans="1:12" s="121" customFormat="1" x14ac:dyDescent="0.2">
      <c r="A677" s="72" t="str">
        <f>IF(F677&lt;&gt;"",1+MAX($A$1:A676),"")</f>
        <v/>
      </c>
      <c r="B677" s="30"/>
      <c r="C677" s="220"/>
      <c r="D677" s="145"/>
      <c r="E677" s="146" t="s">
        <v>22</v>
      </c>
      <c r="F677" s="147"/>
      <c r="G677" s="148"/>
      <c r="H677" s="27">
        <f>ROUNDUP((H676+H675)/32,0)</f>
        <v>19</v>
      </c>
      <c r="I677" s="28" t="s">
        <v>23</v>
      </c>
      <c r="J677" s="135"/>
      <c r="K677" s="136"/>
      <c r="L677" s="137"/>
    </row>
    <row r="678" spans="1:12" s="121" customFormat="1" x14ac:dyDescent="0.2">
      <c r="A678" s="72" t="str">
        <f>IF(F678&lt;&gt;"",1+MAX($A$1:A677),"")</f>
        <v/>
      </c>
      <c r="B678" s="30"/>
      <c r="C678" s="220"/>
      <c r="D678" s="145"/>
      <c r="E678" s="146" t="s">
        <v>24</v>
      </c>
      <c r="F678" s="147"/>
      <c r="G678" s="148"/>
      <c r="H678" s="27">
        <f>ROUNDUP(H677*24/500,0)</f>
        <v>1</v>
      </c>
      <c r="I678" s="28" t="s">
        <v>25</v>
      </c>
      <c r="J678" s="135"/>
      <c r="K678" s="136"/>
      <c r="L678" s="137"/>
    </row>
    <row r="679" spans="1:12" s="121" customFormat="1" x14ac:dyDescent="0.2">
      <c r="A679" s="72" t="str">
        <f>IF(F679&lt;&gt;"",1+MAX($A$1:A678),"")</f>
        <v/>
      </c>
      <c r="B679" s="30"/>
      <c r="C679" s="220"/>
      <c r="D679" s="145"/>
      <c r="E679" s="146" t="s">
        <v>26</v>
      </c>
      <c r="F679" s="147"/>
      <c r="G679" s="148"/>
      <c r="H679" s="149">
        <f>ROUNDUP((H676+H675)/200,0)</f>
        <v>4</v>
      </c>
      <c r="I679" s="28" t="s">
        <v>27</v>
      </c>
      <c r="J679" s="135"/>
      <c r="K679" s="136"/>
      <c r="L679" s="137"/>
    </row>
    <row r="680" spans="1:12" s="121" customFormat="1" x14ac:dyDescent="0.2">
      <c r="A680" s="72" t="str">
        <f>IF(F680&lt;&gt;"",1+MAX($A$1:A679),"")</f>
        <v/>
      </c>
      <c r="B680" s="30"/>
      <c r="C680" s="220"/>
      <c r="D680" s="145"/>
      <c r="E680" s="146" t="s">
        <v>28</v>
      </c>
      <c r="F680" s="147"/>
      <c r="G680" s="148"/>
      <c r="H680" s="149">
        <f>ROUNDUP((H676+H675)*5.25/1000,0)</f>
        <v>4</v>
      </c>
      <c r="I680" s="28" t="s">
        <v>29</v>
      </c>
      <c r="J680" s="135"/>
      <c r="K680" s="136"/>
      <c r="L680" s="137"/>
    </row>
    <row r="681" spans="1:12" s="121" customFormat="1" x14ac:dyDescent="0.2">
      <c r="A681" s="72">
        <f>IF(F681&lt;&gt;"",1+MAX($A$1:A680),"")</f>
        <v>370</v>
      </c>
      <c r="B681" s="2" t="s">
        <v>88</v>
      </c>
      <c r="C681" s="200" t="s">
        <v>95</v>
      </c>
      <c r="D681" s="145"/>
      <c r="E681" s="143" t="s">
        <v>94</v>
      </c>
      <c r="F681" s="13">
        <f>27.4*4</f>
        <v>109.6</v>
      </c>
      <c r="G681" s="74">
        <v>0.1</v>
      </c>
      <c r="H681" s="27">
        <f t="shared" ref="H681:H682" si="187">F681*(1+G681)</f>
        <v>120.56</v>
      </c>
      <c r="I681" s="28" t="s">
        <v>13</v>
      </c>
      <c r="J681" s="135">
        <f>J$490</f>
        <v>0</v>
      </c>
      <c r="K681" s="136">
        <f t="shared" ref="K681:K682" si="188">J681*H681</f>
        <v>0</v>
      </c>
      <c r="L681" s="137"/>
    </row>
    <row r="682" spans="1:12" s="121" customFormat="1" x14ac:dyDescent="0.2">
      <c r="A682" s="72">
        <f>IF(F682&lt;&gt;"",1+MAX($A$1:A681),"")</f>
        <v>371</v>
      </c>
      <c r="B682" s="2" t="s">
        <v>88</v>
      </c>
      <c r="C682" s="200" t="s">
        <v>95</v>
      </c>
      <c r="D682" s="145"/>
      <c r="E682" s="143" t="s">
        <v>100</v>
      </c>
      <c r="F682" s="13">
        <f>27.4*10</f>
        <v>274</v>
      </c>
      <c r="G682" s="74">
        <v>0.1</v>
      </c>
      <c r="H682" s="27">
        <f t="shared" si="187"/>
        <v>301.40000000000003</v>
      </c>
      <c r="I682" s="28" t="s">
        <v>16</v>
      </c>
      <c r="J682" s="135">
        <f>J$548</f>
        <v>0</v>
      </c>
      <c r="K682" s="136">
        <f t="shared" si="188"/>
        <v>0</v>
      </c>
      <c r="L682" s="137"/>
    </row>
    <row r="683" spans="1:12" s="121" customFormat="1" x14ac:dyDescent="0.2">
      <c r="A683" s="72" t="str">
        <f>IF(F683&lt;&gt;"",1+MAX($A$1:A682),"")</f>
        <v/>
      </c>
      <c r="B683" s="2"/>
      <c r="C683" s="244"/>
      <c r="D683" s="145"/>
      <c r="E683" s="146"/>
      <c r="F683" s="147"/>
      <c r="G683" s="148"/>
      <c r="H683" s="27"/>
      <c r="I683" s="28"/>
      <c r="J683" s="135"/>
      <c r="K683" s="136"/>
      <c r="L683" s="137"/>
    </row>
    <row r="684" spans="1:12" s="121" customFormat="1" x14ac:dyDescent="0.2">
      <c r="A684" s="72" t="str">
        <f>IF(F684&lt;&gt;"",1+MAX($A$1:A683),"")</f>
        <v/>
      </c>
      <c r="B684" s="138"/>
      <c r="C684" s="219"/>
      <c r="D684" s="133"/>
      <c r="E684" s="139" t="s">
        <v>105</v>
      </c>
      <c r="F684" s="134"/>
      <c r="G684" s="20"/>
      <c r="H684" s="140"/>
      <c r="I684" s="4"/>
      <c r="J684" s="141"/>
      <c r="K684" s="142"/>
      <c r="L684" s="137"/>
    </row>
    <row r="685" spans="1:12" s="121" customFormat="1" x14ac:dyDescent="0.2">
      <c r="A685" s="72">
        <f>IF(F685&lt;&gt;"",1+MAX($A$1:A684),"")</f>
        <v>372</v>
      </c>
      <c r="B685" s="2" t="s">
        <v>88</v>
      </c>
      <c r="C685" s="200" t="s">
        <v>95</v>
      </c>
      <c r="D685" s="225"/>
      <c r="E685" s="143" t="s">
        <v>91</v>
      </c>
      <c r="F685" s="13">
        <f>14.3*10</f>
        <v>143</v>
      </c>
      <c r="G685" s="74">
        <v>0.1</v>
      </c>
      <c r="H685" s="27">
        <f>F685*(1+G685)</f>
        <v>157.30000000000001</v>
      </c>
      <c r="I685" s="28" t="s">
        <v>16</v>
      </c>
      <c r="J685" s="135">
        <f>J$485</f>
        <v>0</v>
      </c>
      <c r="K685" s="136">
        <f>J685*H685</f>
        <v>0</v>
      </c>
      <c r="L685" s="137"/>
    </row>
    <row r="686" spans="1:12" s="121" customFormat="1" x14ac:dyDescent="0.2">
      <c r="A686" s="72">
        <f>IF(F686&lt;&gt;"",1+MAX($A$1:A685),"")</f>
        <v>373</v>
      </c>
      <c r="B686" s="2" t="s">
        <v>88</v>
      </c>
      <c r="C686" s="200" t="s">
        <v>95</v>
      </c>
      <c r="D686" s="225"/>
      <c r="E686" s="143" t="s">
        <v>93</v>
      </c>
      <c r="F686" s="13">
        <f>14.3*10</f>
        <v>143</v>
      </c>
      <c r="G686" s="74">
        <v>0.1</v>
      </c>
      <c r="H686" s="27">
        <f>F686*(1+G686)</f>
        <v>157.30000000000001</v>
      </c>
      <c r="I686" s="28" t="s">
        <v>16</v>
      </c>
      <c r="J686" s="135">
        <f>J$523</f>
        <v>0</v>
      </c>
      <c r="K686" s="136">
        <f>J686*H686</f>
        <v>0</v>
      </c>
      <c r="L686" s="137"/>
    </row>
    <row r="687" spans="1:12" s="121" customFormat="1" x14ac:dyDescent="0.2">
      <c r="A687" s="72" t="str">
        <f>IF(F687&lt;&gt;"",1+MAX($A$1:A686),"")</f>
        <v/>
      </c>
      <c r="B687" s="30"/>
      <c r="C687" s="220"/>
      <c r="D687" s="145"/>
      <c r="E687" s="146" t="s">
        <v>22</v>
      </c>
      <c r="F687" s="147"/>
      <c r="G687" s="148"/>
      <c r="H687" s="27">
        <f>ROUNDUP((H686+H685)/32,0)</f>
        <v>10</v>
      </c>
      <c r="I687" s="28" t="s">
        <v>23</v>
      </c>
      <c r="J687" s="135"/>
      <c r="K687" s="136"/>
      <c r="L687" s="137"/>
    </row>
    <row r="688" spans="1:12" s="121" customFormat="1" x14ac:dyDescent="0.2">
      <c r="A688" s="72" t="str">
        <f>IF(F688&lt;&gt;"",1+MAX($A$1:A687),"")</f>
        <v/>
      </c>
      <c r="B688" s="30"/>
      <c r="C688" s="220"/>
      <c r="D688" s="145"/>
      <c r="E688" s="146" t="s">
        <v>24</v>
      </c>
      <c r="F688" s="147"/>
      <c r="G688" s="148"/>
      <c r="H688" s="27">
        <f>ROUNDUP(H687*24/500,0)</f>
        <v>1</v>
      </c>
      <c r="I688" s="28" t="s">
        <v>25</v>
      </c>
      <c r="J688" s="135"/>
      <c r="K688" s="136"/>
      <c r="L688" s="137"/>
    </row>
    <row r="689" spans="1:12" s="121" customFormat="1" x14ac:dyDescent="0.2">
      <c r="A689" s="72" t="str">
        <f>IF(F689&lt;&gt;"",1+MAX($A$1:A688),"")</f>
        <v/>
      </c>
      <c r="B689" s="30"/>
      <c r="C689" s="220"/>
      <c r="D689" s="145"/>
      <c r="E689" s="146" t="s">
        <v>26</v>
      </c>
      <c r="F689" s="147"/>
      <c r="G689" s="148"/>
      <c r="H689" s="149">
        <f>ROUNDUP((H686+H685)/200,0)</f>
        <v>2</v>
      </c>
      <c r="I689" s="28" t="s">
        <v>27</v>
      </c>
      <c r="J689" s="135"/>
      <c r="K689" s="136"/>
      <c r="L689" s="137"/>
    </row>
    <row r="690" spans="1:12" s="121" customFormat="1" x14ac:dyDescent="0.2">
      <c r="A690" s="72" t="str">
        <f>IF(F690&lt;&gt;"",1+MAX($A$1:A689),"")</f>
        <v/>
      </c>
      <c r="B690" s="30"/>
      <c r="C690" s="220"/>
      <c r="D690" s="145"/>
      <c r="E690" s="146" t="s">
        <v>28</v>
      </c>
      <c r="F690" s="147"/>
      <c r="G690" s="148"/>
      <c r="H690" s="149">
        <f>ROUNDUP((H686+H685)*5.25/1000,0)</f>
        <v>2</v>
      </c>
      <c r="I690" s="28" t="s">
        <v>29</v>
      </c>
      <c r="J690" s="135"/>
      <c r="K690" s="136"/>
      <c r="L690" s="137"/>
    </row>
    <row r="691" spans="1:12" s="121" customFormat="1" x14ac:dyDescent="0.2">
      <c r="A691" s="72">
        <f>IF(F691&lt;&gt;"",1+MAX($A$1:A690),"")</f>
        <v>374</v>
      </c>
      <c r="B691" s="2" t="s">
        <v>88</v>
      </c>
      <c r="C691" s="200" t="s">
        <v>95</v>
      </c>
      <c r="D691" s="145"/>
      <c r="E691" s="143" t="s">
        <v>94</v>
      </c>
      <c r="F691" s="13">
        <f>14.3*4</f>
        <v>57.2</v>
      </c>
      <c r="G691" s="74">
        <v>0.1</v>
      </c>
      <c r="H691" s="27">
        <f t="shared" ref="H691:H692" si="189">F691*(1+G691)</f>
        <v>62.920000000000009</v>
      </c>
      <c r="I691" s="28" t="s">
        <v>13</v>
      </c>
      <c r="J691" s="135">
        <f>J$490</f>
        <v>0</v>
      </c>
      <c r="K691" s="136">
        <f t="shared" ref="K691:K692" si="190">J691*H691</f>
        <v>0</v>
      </c>
      <c r="L691" s="137"/>
    </row>
    <row r="692" spans="1:12" s="121" customFormat="1" x14ac:dyDescent="0.2">
      <c r="A692" s="72">
        <f>IF(F692&lt;&gt;"",1+MAX($A$1:A691),"")</f>
        <v>375</v>
      </c>
      <c r="B692" s="2" t="s">
        <v>88</v>
      </c>
      <c r="C692" s="200" t="s">
        <v>95</v>
      </c>
      <c r="D692" s="145"/>
      <c r="E692" s="143" t="s">
        <v>102</v>
      </c>
      <c r="F692" s="13">
        <f t="shared" ref="F692" si="191">14.3*10</f>
        <v>143</v>
      </c>
      <c r="G692" s="74">
        <v>0.1</v>
      </c>
      <c r="H692" s="27">
        <f t="shared" si="189"/>
        <v>157.30000000000001</v>
      </c>
      <c r="I692" s="28" t="s">
        <v>16</v>
      </c>
      <c r="J692" s="135">
        <f>J$558</f>
        <v>0</v>
      </c>
      <c r="K692" s="136">
        <f t="shared" si="190"/>
        <v>0</v>
      </c>
      <c r="L692" s="137"/>
    </row>
    <row r="693" spans="1:12" s="121" customFormat="1" x14ac:dyDescent="0.2">
      <c r="A693" s="72" t="str">
        <f>IF(F693&lt;&gt;"",1+MAX($A$1:A692),"")</f>
        <v/>
      </c>
      <c r="B693" s="2"/>
      <c r="C693" s="244"/>
      <c r="D693" s="145"/>
      <c r="E693" s="146"/>
      <c r="F693" s="147"/>
      <c r="G693" s="148"/>
      <c r="H693" s="27"/>
      <c r="I693" s="28"/>
      <c r="J693" s="135"/>
      <c r="K693" s="136"/>
      <c r="L693" s="137"/>
    </row>
    <row r="694" spans="1:12" s="121" customFormat="1" x14ac:dyDescent="0.2">
      <c r="A694" s="72" t="str">
        <f>IF(F694&lt;&gt;"",1+MAX($A$1:A693),"")</f>
        <v/>
      </c>
      <c r="B694" s="138"/>
      <c r="C694" s="219"/>
      <c r="D694" s="133"/>
      <c r="E694" s="139" t="s">
        <v>106</v>
      </c>
      <c r="F694" s="134"/>
      <c r="G694" s="20"/>
      <c r="H694" s="140"/>
      <c r="I694" s="4"/>
      <c r="J694" s="141"/>
      <c r="K694" s="142"/>
      <c r="L694" s="137"/>
    </row>
    <row r="695" spans="1:12" s="121" customFormat="1" x14ac:dyDescent="0.2">
      <c r="A695" s="72">
        <f>IF(F695&lt;&gt;"",1+MAX($A$1:A694),"")</f>
        <v>376</v>
      </c>
      <c r="B695" s="2" t="s">
        <v>88</v>
      </c>
      <c r="C695" s="200" t="s">
        <v>95</v>
      </c>
      <c r="D695" s="225"/>
      <c r="E695" s="143" t="s">
        <v>101</v>
      </c>
      <c r="F695" s="13">
        <f>67*10*2</f>
        <v>1340</v>
      </c>
      <c r="G695" s="74">
        <v>0.1</v>
      </c>
      <c r="H695" s="27">
        <f>F695*(1+G695)</f>
        <v>1474.0000000000002</v>
      </c>
      <c r="I695" s="28" t="s">
        <v>16</v>
      </c>
      <c r="J695" s="135">
        <f>J$512</f>
        <v>0</v>
      </c>
      <c r="K695" s="136">
        <f>J695*H695</f>
        <v>0</v>
      </c>
      <c r="L695" s="137"/>
    </row>
    <row r="696" spans="1:12" s="121" customFormat="1" x14ac:dyDescent="0.2">
      <c r="A696" s="72" t="str">
        <f>IF(F696&lt;&gt;"",1+MAX($A$1:A695),"")</f>
        <v/>
      </c>
      <c r="B696" s="30"/>
      <c r="C696" s="220"/>
      <c r="D696" s="145"/>
      <c r="E696" s="146" t="s">
        <v>22</v>
      </c>
      <c r="F696" s="147"/>
      <c r="G696" s="148"/>
      <c r="H696" s="27">
        <f>ROUNDUP((H695)/32,0)</f>
        <v>47</v>
      </c>
      <c r="I696" s="28" t="s">
        <v>23</v>
      </c>
      <c r="J696" s="135"/>
      <c r="K696" s="136"/>
      <c r="L696" s="137"/>
    </row>
    <row r="697" spans="1:12" s="121" customFormat="1" x14ac:dyDescent="0.2">
      <c r="A697" s="72" t="str">
        <f>IF(F697&lt;&gt;"",1+MAX($A$1:A696),"")</f>
        <v/>
      </c>
      <c r="B697" s="30"/>
      <c r="C697" s="220"/>
      <c r="D697" s="145"/>
      <c r="E697" s="146" t="s">
        <v>24</v>
      </c>
      <c r="F697" s="147"/>
      <c r="G697" s="148"/>
      <c r="H697" s="27">
        <f>ROUNDUP(H696*24/500,0)</f>
        <v>3</v>
      </c>
      <c r="I697" s="28" t="s">
        <v>25</v>
      </c>
      <c r="J697" s="135"/>
      <c r="K697" s="136"/>
      <c r="L697" s="137"/>
    </row>
    <row r="698" spans="1:12" s="121" customFormat="1" x14ac:dyDescent="0.2">
      <c r="A698" s="72" t="str">
        <f>IF(F698&lt;&gt;"",1+MAX($A$1:A697),"")</f>
        <v/>
      </c>
      <c r="B698" s="30"/>
      <c r="C698" s="220"/>
      <c r="D698" s="145"/>
      <c r="E698" s="146" t="s">
        <v>26</v>
      </c>
      <c r="F698" s="147"/>
      <c r="G698" s="148"/>
      <c r="H698" s="149">
        <f>ROUNDUP((H695)/200,0)</f>
        <v>8</v>
      </c>
      <c r="I698" s="28" t="s">
        <v>27</v>
      </c>
      <c r="J698" s="135"/>
      <c r="K698" s="136"/>
      <c r="L698" s="137"/>
    </row>
    <row r="699" spans="1:12" s="121" customFormat="1" x14ac:dyDescent="0.2">
      <c r="A699" s="72" t="str">
        <f>IF(F699&lt;&gt;"",1+MAX($A$1:A698),"")</f>
        <v/>
      </c>
      <c r="B699" s="30"/>
      <c r="C699" s="220"/>
      <c r="D699" s="145"/>
      <c r="E699" s="146" t="s">
        <v>28</v>
      </c>
      <c r="F699" s="147"/>
      <c r="G699" s="148"/>
      <c r="H699" s="149">
        <f>ROUNDUP((H695)*5.25/1000,0)</f>
        <v>8</v>
      </c>
      <c r="I699" s="28" t="s">
        <v>29</v>
      </c>
      <c r="J699" s="135"/>
      <c r="K699" s="136"/>
      <c r="L699" s="137"/>
    </row>
    <row r="700" spans="1:12" s="121" customFormat="1" x14ac:dyDescent="0.2">
      <c r="A700" s="72">
        <f>IF(F700&lt;&gt;"",1+MAX($A$1:A699),"")</f>
        <v>377</v>
      </c>
      <c r="B700" s="2" t="s">
        <v>88</v>
      </c>
      <c r="C700" s="200" t="s">
        <v>95</v>
      </c>
      <c r="D700" s="145"/>
      <c r="E700" s="143" t="s">
        <v>94</v>
      </c>
      <c r="F700" s="13">
        <f>67*4</f>
        <v>268</v>
      </c>
      <c r="G700" s="74">
        <v>0.1</v>
      </c>
      <c r="H700" s="27">
        <f t="shared" ref="H700:H702" si="192">F700*(1+G700)</f>
        <v>294.8</v>
      </c>
      <c r="I700" s="28" t="s">
        <v>13</v>
      </c>
      <c r="J700" s="135">
        <f>J$490</f>
        <v>0</v>
      </c>
      <c r="K700" s="136">
        <f t="shared" ref="K700:K702" si="193">J700*H700</f>
        <v>0</v>
      </c>
      <c r="L700" s="137"/>
    </row>
    <row r="701" spans="1:12" s="121" customFormat="1" x14ac:dyDescent="0.2">
      <c r="A701" s="72">
        <f>IF(F701&lt;&gt;"",1+MAX($A$1:A700),"")</f>
        <v>378</v>
      </c>
      <c r="B701" s="2" t="s">
        <v>88</v>
      </c>
      <c r="C701" s="200" t="s">
        <v>95</v>
      </c>
      <c r="D701" s="145"/>
      <c r="E701" s="143" t="s">
        <v>102</v>
      </c>
      <c r="F701" s="13">
        <f>67*12</f>
        <v>804</v>
      </c>
      <c r="G701" s="74">
        <v>0.1</v>
      </c>
      <c r="H701" s="27">
        <f t="shared" si="192"/>
        <v>884.40000000000009</v>
      </c>
      <c r="I701" s="28" t="s">
        <v>16</v>
      </c>
      <c r="J701" s="135">
        <f>J$558</f>
        <v>0</v>
      </c>
      <c r="K701" s="136">
        <f t="shared" si="193"/>
        <v>0</v>
      </c>
      <c r="L701" s="137"/>
    </row>
    <row r="702" spans="1:12" s="121" customFormat="1" x14ac:dyDescent="0.2">
      <c r="A702" s="72">
        <f>IF(F702&lt;&gt;"",1+MAX($A$1:A701),"")</f>
        <v>379</v>
      </c>
      <c r="B702" s="2" t="s">
        <v>88</v>
      </c>
      <c r="C702" s="200" t="s">
        <v>95</v>
      </c>
      <c r="D702" s="145"/>
      <c r="E702" s="143" t="s">
        <v>103</v>
      </c>
      <c r="F702" s="13">
        <f>67*10</f>
        <v>670</v>
      </c>
      <c r="G702" s="74">
        <v>0.1</v>
      </c>
      <c r="H702" s="27">
        <f t="shared" si="192"/>
        <v>737.00000000000011</v>
      </c>
      <c r="I702" s="28" t="s">
        <v>16</v>
      </c>
      <c r="J702" s="135">
        <f>J$568</f>
        <v>0</v>
      </c>
      <c r="K702" s="136">
        <f t="shared" si="193"/>
        <v>0</v>
      </c>
      <c r="L702" s="137"/>
    </row>
    <row r="703" spans="1:12" s="121" customFormat="1" x14ac:dyDescent="0.2">
      <c r="A703" s="72" t="str">
        <f>IF(F703&lt;&gt;"",1+MAX($A$1:A702),"")</f>
        <v/>
      </c>
      <c r="B703" s="2"/>
      <c r="C703" s="244"/>
      <c r="D703" s="145"/>
      <c r="E703" s="146"/>
      <c r="F703" s="147"/>
      <c r="G703" s="148"/>
      <c r="H703" s="27"/>
      <c r="I703" s="28"/>
      <c r="J703" s="135"/>
      <c r="K703" s="136"/>
      <c r="L703" s="137"/>
    </row>
    <row r="704" spans="1:12" s="121" customFormat="1" x14ac:dyDescent="0.2">
      <c r="A704" s="72" t="str">
        <f>IF(F704&lt;&gt;"",1+MAX($A$1:A703),"")</f>
        <v/>
      </c>
      <c r="B704" s="138"/>
      <c r="C704" s="219"/>
      <c r="D704" s="133"/>
      <c r="E704" s="139" t="s">
        <v>107</v>
      </c>
      <c r="F704" s="134"/>
      <c r="G704" s="20"/>
      <c r="H704" s="140"/>
      <c r="I704" s="4"/>
      <c r="J704" s="141"/>
      <c r="K704" s="142"/>
      <c r="L704" s="137"/>
    </row>
    <row r="705" spans="1:12" s="121" customFormat="1" x14ac:dyDescent="0.2">
      <c r="A705" s="72">
        <f>IF(F705&lt;&gt;"",1+MAX($A$1:A704),"")</f>
        <v>380</v>
      </c>
      <c r="B705" s="2" t="s">
        <v>88</v>
      </c>
      <c r="C705" s="200" t="s">
        <v>95</v>
      </c>
      <c r="D705" s="225"/>
      <c r="E705" s="143" t="s">
        <v>101</v>
      </c>
      <c r="F705" s="13">
        <f>102.6*10*2</f>
        <v>2052</v>
      </c>
      <c r="G705" s="74">
        <v>0.1</v>
      </c>
      <c r="H705" s="27">
        <f>F705*(1+G705)</f>
        <v>2257.2000000000003</v>
      </c>
      <c r="I705" s="28" t="s">
        <v>16</v>
      </c>
      <c r="J705" s="135">
        <f>J$512</f>
        <v>0</v>
      </c>
      <c r="K705" s="136">
        <f>J705*H705</f>
        <v>0</v>
      </c>
      <c r="L705" s="137"/>
    </row>
    <row r="706" spans="1:12" s="121" customFormat="1" x14ac:dyDescent="0.2">
      <c r="A706" s="72" t="str">
        <f>IF(F706&lt;&gt;"",1+MAX($A$1:A705),"")</f>
        <v/>
      </c>
      <c r="B706" s="30"/>
      <c r="C706" s="220"/>
      <c r="D706" s="145"/>
      <c r="E706" s="146" t="s">
        <v>22</v>
      </c>
      <c r="F706" s="147"/>
      <c r="G706" s="148"/>
      <c r="H706" s="27">
        <f>ROUNDUP((H705)/32,0)</f>
        <v>71</v>
      </c>
      <c r="I706" s="28" t="s">
        <v>23</v>
      </c>
      <c r="J706" s="135"/>
      <c r="K706" s="136"/>
      <c r="L706" s="137"/>
    </row>
    <row r="707" spans="1:12" s="121" customFormat="1" x14ac:dyDescent="0.2">
      <c r="A707" s="72" t="str">
        <f>IF(F707&lt;&gt;"",1+MAX($A$1:A706),"")</f>
        <v/>
      </c>
      <c r="B707" s="30"/>
      <c r="C707" s="220"/>
      <c r="D707" s="145"/>
      <c r="E707" s="146" t="s">
        <v>24</v>
      </c>
      <c r="F707" s="147"/>
      <c r="G707" s="148"/>
      <c r="H707" s="27">
        <f>ROUNDUP(H706*24/500,0)</f>
        <v>4</v>
      </c>
      <c r="I707" s="28" t="s">
        <v>25</v>
      </c>
      <c r="J707" s="135"/>
      <c r="K707" s="136"/>
      <c r="L707" s="137"/>
    </row>
    <row r="708" spans="1:12" s="121" customFormat="1" x14ac:dyDescent="0.2">
      <c r="A708" s="72" t="str">
        <f>IF(F708&lt;&gt;"",1+MAX($A$1:A707),"")</f>
        <v/>
      </c>
      <c r="B708" s="30"/>
      <c r="C708" s="220"/>
      <c r="D708" s="145"/>
      <c r="E708" s="146" t="s">
        <v>26</v>
      </c>
      <c r="F708" s="147"/>
      <c r="G708" s="148"/>
      <c r="H708" s="149">
        <f>ROUNDUP((H705)/200,0)</f>
        <v>12</v>
      </c>
      <c r="I708" s="28" t="s">
        <v>27</v>
      </c>
      <c r="J708" s="135"/>
      <c r="K708" s="136"/>
      <c r="L708" s="137"/>
    </row>
    <row r="709" spans="1:12" s="121" customFormat="1" x14ac:dyDescent="0.2">
      <c r="A709" s="72" t="str">
        <f>IF(F709&lt;&gt;"",1+MAX($A$1:A708),"")</f>
        <v/>
      </c>
      <c r="B709" s="30"/>
      <c r="C709" s="220"/>
      <c r="D709" s="145"/>
      <c r="E709" s="146" t="s">
        <v>28</v>
      </c>
      <c r="F709" s="147"/>
      <c r="G709" s="148"/>
      <c r="H709" s="149">
        <f>ROUNDUP((H705)*5.25/1000,0)</f>
        <v>12</v>
      </c>
      <c r="I709" s="28" t="s">
        <v>29</v>
      </c>
      <c r="J709" s="135"/>
      <c r="K709" s="136"/>
      <c r="L709" s="137"/>
    </row>
    <row r="710" spans="1:12" s="121" customFormat="1" x14ac:dyDescent="0.2">
      <c r="A710" s="72">
        <f>IF(F710&lt;&gt;"",1+MAX($A$1:A709),"")</f>
        <v>381</v>
      </c>
      <c r="B710" s="2" t="s">
        <v>88</v>
      </c>
      <c r="C710" s="200" t="s">
        <v>95</v>
      </c>
      <c r="D710" s="145"/>
      <c r="E710" s="143" t="s">
        <v>94</v>
      </c>
      <c r="F710" s="13">
        <f>102.6*4</f>
        <v>410.4</v>
      </c>
      <c r="G710" s="74">
        <v>0.1</v>
      </c>
      <c r="H710" s="27">
        <f t="shared" ref="H710:H712" si="194">F710*(1+G710)</f>
        <v>451.44</v>
      </c>
      <c r="I710" s="28" t="s">
        <v>13</v>
      </c>
      <c r="J710" s="135">
        <f>J$490</f>
        <v>0</v>
      </c>
      <c r="K710" s="136">
        <f t="shared" ref="K710:K712" si="195">J710*H710</f>
        <v>0</v>
      </c>
      <c r="L710" s="137"/>
    </row>
    <row r="711" spans="1:12" s="121" customFormat="1" x14ac:dyDescent="0.2">
      <c r="A711" s="72">
        <f>IF(F711&lt;&gt;"",1+MAX($A$1:A710),"")</f>
        <v>382</v>
      </c>
      <c r="B711" s="2" t="s">
        <v>88</v>
      </c>
      <c r="C711" s="200" t="s">
        <v>95</v>
      </c>
      <c r="D711" s="145"/>
      <c r="E711" s="143" t="s">
        <v>102</v>
      </c>
      <c r="F711" s="13">
        <f>102.6*12</f>
        <v>1231.1999999999998</v>
      </c>
      <c r="G711" s="74">
        <v>0.1</v>
      </c>
      <c r="H711" s="27">
        <f t="shared" si="194"/>
        <v>1354.32</v>
      </c>
      <c r="I711" s="28" t="s">
        <v>16</v>
      </c>
      <c r="J711" s="135">
        <f>J$558</f>
        <v>0</v>
      </c>
      <c r="K711" s="136">
        <f t="shared" si="195"/>
        <v>0</v>
      </c>
      <c r="L711" s="137"/>
    </row>
    <row r="712" spans="1:12" s="121" customFormat="1" x14ac:dyDescent="0.2">
      <c r="A712" s="72">
        <f>IF(F712&lt;&gt;"",1+MAX($A$1:A711),"")</f>
        <v>383</v>
      </c>
      <c r="B712" s="2" t="s">
        <v>88</v>
      </c>
      <c r="C712" s="200" t="s">
        <v>95</v>
      </c>
      <c r="D712" s="145"/>
      <c r="E712" s="143" t="s">
        <v>103</v>
      </c>
      <c r="F712" s="13">
        <f t="shared" ref="F712" si="196">102.6*10</f>
        <v>1026</v>
      </c>
      <c r="G712" s="74">
        <v>0.1</v>
      </c>
      <c r="H712" s="27">
        <f t="shared" si="194"/>
        <v>1128.6000000000001</v>
      </c>
      <c r="I712" s="28" t="s">
        <v>16</v>
      </c>
      <c r="J712" s="135">
        <f>J$568</f>
        <v>0</v>
      </c>
      <c r="K712" s="136">
        <f t="shared" si="195"/>
        <v>0</v>
      </c>
      <c r="L712" s="137"/>
    </row>
    <row r="713" spans="1:12" s="121" customFormat="1" x14ac:dyDescent="0.2">
      <c r="A713" s="72" t="str">
        <f>IF(F713&lt;&gt;"",1+MAX($A$1:A712),"")</f>
        <v/>
      </c>
      <c r="B713" s="2"/>
      <c r="C713" s="244"/>
      <c r="D713" s="145"/>
      <c r="E713" s="146"/>
      <c r="F713" s="147"/>
      <c r="G713" s="148"/>
      <c r="H713" s="27"/>
      <c r="I713" s="28"/>
      <c r="J713" s="135"/>
      <c r="K713" s="136"/>
      <c r="L713" s="137"/>
    </row>
    <row r="714" spans="1:12" s="121" customFormat="1" x14ac:dyDescent="0.2">
      <c r="A714" s="72" t="str">
        <f>IF(F714&lt;&gt;"",1+MAX($A$1:A713),"")</f>
        <v/>
      </c>
      <c r="B714" s="138"/>
      <c r="C714" s="219"/>
      <c r="D714" s="133"/>
      <c r="E714" s="139" t="s">
        <v>108</v>
      </c>
      <c r="F714" s="134"/>
      <c r="G714" s="20"/>
      <c r="H714" s="140"/>
      <c r="I714" s="4"/>
      <c r="J714" s="141"/>
      <c r="K714" s="142"/>
      <c r="L714" s="137"/>
    </row>
    <row r="715" spans="1:12" s="121" customFormat="1" x14ac:dyDescent="0.2">
      <c r="A715" s="72">
        <f>IF(F715&lt;&gt;"",1+MAX($A$1:A714),"")</f>
        <v>384</v>
      </c>
      <c r="B715" s="2" t="s">
        <v>88</v>
      </c>
      <c r="C715" s="200" t="s">
        <v>95</v>
      </c>
      <c r="D715" s="225"/>
      <c r="E715" s="143" t="s">
        <v>101</v>
      </c>
      <c r="F715" s="13">
        <f>21.3*10</f>
        <v>213</v>
      </c>
      <c r="G715" s="74">
        <v>0.1</v>
      </c>
      <c r="H715" s="27">
        <f>F715*(1+G715)</f>
        <v>234.3</v>
      </c>
      <c r="I715" s="28" t="s">
        <v>16</v>
      </c>
      <c r="J715" s="135">
        <f>J$512</f>
        <v>0</v>
      </c>
      <c r="K715" s="136">
        <f>J715*H715</f>
        <v>0</v>
      </c>
      <c r="L715" s="137"/>
    </row>
    <row r="716" spans="1:12" s="121" customFormat="1" x14ac:dyDescent="0.2">
      <c r="A716" s="72">
        <f>IF(F716&lt;&gt;"",1+MAX($A$1:A715),"")</f>
        <v>385</v>
      </c>
      <c r="B716" s="2" t="s">
        <v>88</v>
      </c>
      <c r="C716" s="200" t="s">
        <v>95</v>
      </c>
      <c r="D716" s="225"/>
      <c r="E716" s="143" t="s">
        <v>142</v>
      </c>
      <c r="F716" s="13">
        <f>21.3*10</f>
        <v>213</v>
      </c>
      <c r="G716" s="74">
        <v>0.1</v>
      </c>
      <c r="H716" s="27">
        <f>F716*(1+G716)</f>
        <v>234.3</v>
      </c>
      <c r="I716" s="28" t="s">
        <v>16</v>
      </c>
      <c r="J716" s="135">
        <f>J$582</f>
        <v>0</v>
      </c>
      <c r="K716" s="136">
        <f>J716*H716</f>
        <v>0</v>
      </c>
      <c r="L716" s="137"/>
    </row>
    <row r="717" spans="1:12" s="121" customFormat="1" x14ac:dyDescent="0.2">
      <c r="A717" s="72" t="str">
        <f>IF(F717&lt;&gt;"",1+MAX($A$1:A716),"")</f>
        <v/>
      </c>
      <c r="B717" s="30"/>
      <c r="C717" s="220"/>
      <c r="D717" s="145"/>
      <c r="E717" s="146" t="s">
        <v>22</v>
      </c>
      <c r="F717" s="147"/>
      <c r="G717" s="148"/>
      <c r="H717" s="27">
        <f>ROUNDUP((H716+H715)/32,0)</f>
        <v>15</v>
      </c>
      <c r="I717" s="28" t="s">
        <v>23</v>
      </c>
      <c r="J717" s="135"/>
      <c r="K717" s="136"/>
      <c r="L717" s="137"/>
    </row>
    <row r="718" spans="1:12" s="121" customFormat="1" x14ac:dyDescent="0.2">
      <c r="A718" s="72" t="str">
        <f>IF(F718&lt;&gt;"",1+MAX($A$1:A717),"")</f>
        <v/>
      </c>
      <c r="B718" s="30"/>
      <c r="C718" s="220"/>
      <c r="D718" s="145"/>
      <c r="E718" s="146" t="s">
        <v>24</v>
      </c>
      <c r="F718" s="147"/>
      <c r="G718" s="148"/>
      <c r="H718" s="27">
        <f>ROUNDUP(H717*24/500,0)</f>
        <v>1</v>
      </c>
      <c r="I718" s="28" t="s">
        <v>25</v>
      </c>
      <c r="J718" s="135"/>
      <c r="K718" s="136"/>
      <c r="L718" s="137"/>
    </row>
    <row r="719" spans="1:12" s="121" customFormat="1" x14ac:dyDescent="0.2">
      <c r="A719" s="72" t="str">
        <f>IF(F719&lt;&gt;"",1+MAX($A$1:A718),"")</f>
        <v/>
      </c>
      <c r="B719" s="30"/>
      <c r="C719" s="220"/>
      <c r="D719" s="145"/>
      <c r="E719" s="146" t="s">
        <v>26</v>
      </c>
      <c r="F719" s="147"/>
      <c r="G719" s="148"/>
      <c r="H719" s="149">
        <f>ROUNDUP((H716+H715)/200,0)</f>
        <v>3</v>
      </c>
      <c r="I719" s="28" t="s">
        <v>27</v>
      </c>
      <c r="J719" s="135"/>
      <c r="K719" s="136"/>
      <c r="L719" s="137"/>
    </row>
    <row r="720" spans="1:12" s="121" customFormat="1" x14ac:dyDescent="0.2">
      <c r="A720" s="72" t="str">
        <f>IF(F720&lt;&gt;"",1+MAX($A$1:A719),"")</f>
        <v/>
      </c>
      <c r="B720" s="30"/>
      <c r="C720" s="220"/>
      <c r="D720" s="145"/>
      <c r="E720" s="146" t="s">
        <v>28</v>
      </c>
      <c r="F720" s="147"/>
      <c r="G720" s="148"/>
      <c r="H720" s="149">
        <f>ROUNDUP((H716+H715)*5.25/1000,0)</f>
        <v>3</v>
      </c>
      <c r="I720" s="28" t="s">
        <v>29</v>
      </c>
      <c r="J720" s="135"/>
      <c r="K720" s="136"/>
      <c r="L720" s="137"/>
    </row>
    <row r="721" spans="1:12" s="121" customFormat="1" x14ac:dyDescent="0.2">
      <c r="A721" s="72">
        <f>IF(F721&lt;&gt;"",1+MAX($A$1:A720),"")</f>
        <v>386</v>
      </c>
      <c r="B721" s="2" t="s">
        <v>88</v>
      </c>
      <c r="C721" s="200" t="s">
        <v>95</v>
      </c>
      <c r="D721" s="145"/>
      <c r="E721" s="143" t="s">
        <v>94</v>
      </c>
      <c r="F721" s="13">
        <f>21.3*4</f>
        <v>85.2</v>
      </c>
      <c r="G721" s="74">
        <v>0.1</v>
      </c>
      <c r="H721" s="27">
        <f t="shared" ref="H721:H723" si="197">F721*(1+G721)</f>
        <v>93.720000000000013</v>
      </c>
      <c r="I721" s="28" t="s">
        <v>13</v>
      </c>
      <c r="J721" s="135">
        <f>J$490</f>
        <v>0</v>
      </c>
      <c r="K721" s="136">
        <f t="shared" ref="K721:K723" si="198">J721*H721</f>
        <v>0</v>
      </c>
      <c r="L721" s="137"/>
    </row>
    <row r="722" spans="1:12" s="121" customFormat="1" x14ac:dyDescent="0.2">
      <c r="A722" s="72">
        <f>IF(F722&lt;&gt;"",1+MAX($A$1:A721),"")</f>
        <v>387</v>
      </c>
      <c r="B722" s="2" t="s">
        <v>88</v>
      </c>
      <c r="C722" s="200" t="s">
        <v>95</v>
      </c>
      <c r="D722" s="145"/>
      <c r="E722" s="143" t="s">
        <v>102</v>
      </c>
      <c r="F722" s="13">
        <f t="shared" ref="F722:F723" si="199">21.3*10</f>
        <v>213</v>
      </c>
      <c r="G722" s="74">
        <v>0.1</v>
      </c>
      <c r="H722" s="27">
        <f t="shared" si="197"/>
        <v>234.3</v>
      </c>
      <c r="I722" s="28" t="s">
        <v>16</v>
      </c>
      <c r="J722" s="135">
        <f>J$558</f>
        <v>0</v>
      </c>
      <c r="K722" s="136">
        <f t="shared" si="198"/>
        <v>0</v>
      </c>
      <c r="L722" s="137"/>
    </row>
    <row r="723" spans="1:12" s="121" customFormat="1" x14ac:dyDescent="0.2">
      <c r="A723" s="72">
        <f>IF(F723&lt;&gt;"",1+MAX($A$1:A722),"")</f>
        <v>388</v>
      </c>
      <c r="B723" s="2" t="s">
        <v>88</v>
      </c>
      <c r="C723" s="200" t="s">
        <v>95</v>
      </c>
      <c r="D723" s="145"/>
      <c r="E723" s="143" t="s">
        <v>103</v>
      </c>
      <c r="F723" s="13">
        <f t="shared" si="199"/>
        <v>213</v>
      </c>
      <c r="G723" s="74">
        <v>0.1</v>
      </c>
      <c r="H723" s="27">
        <f t="shared" si="197"/>
        <v>234.3</v>
      </c>
      <c r="I723" s="28" t="s">
        <v>16</v>
      </c>
      <c r="J723" s="135">
        <f>J$568</f>
        <v>0</v>
      </c>
      <c r="K723" s="136">
        <f t="shared" si="198"/>
        <v>0</v>
      </c>
      <c r="L723" s="137"/>
    </row>
    <row r="724" spans="1:12" s="121" customFormat="1" x14ac:dyDescent="0.2">
      <c r="A724" s="72" t="str">
        <f>IF(F724&lt;&gt;"",1+MAX($A$1:A723),"")</f>
        <v/>
      </c>
      <c r="B724" s="2"/>
      <c r="C724" s="244"/>
      <c r="D724" s="145"/>
      <c r="E724" s="146"/>
      <c r="F724" s="147"/>
      <c r="G724" s="148"/>
      <c r="H724" s="27"/>
      <c r="I724" s="28"/>
      <c r="J724" s="135"/>
      <c r="K724" s="136"/>
      <c r="L724" s="137"/>
    </row>
    <row r="725" spans="1:12" s="121" customFormat="1" x14ac:dyDescent="0.2">
      <c r="A725" s="72" t="str">
        <f>IF(F725&lt;&gt;"",1+MAX($A$1:A724),"")</f>
        <v/>
      </c>
      <c r="B725" s="138"/>
      <c r="C725" s="219"/>
      <c r="D725" s="133"/>
      <c r="E725" s="139" t="s">
        <v>109</v>
      </c>
      <c r="F725" s="134"/>
      <c r="G725" s="20"/>
      <c r="H725" s="140"/>
      <c r="I725" s="4"/>
      <c r="J725" s="141"/>
      <c r="K725" s="142"/>
      <c r="L725" s="137"/>
    </row>
    <row r="726" spans="1:12" s="121" customFormat="1" x14ac:dyDescent="0.2">
      <c r="A726" s="72">
        <f>IF(F726&lt;&gt;"",1+MAX($A$1:A725),"")</f>
        <v>389</v>
      </c>
      <c r="B726" s="2" t="s">
        <v>88</v>
      </c>
      <c r="C726" s="200" t="s">
        <v>95</v>
      </c>
      <c r="D726" s="225"/>
      <c r="E726" s="143" t="s">
        <v>111</v>
      </c>
      <c r="F726" s="13">
        <f>33.4*12*2</f>
        <v>801.59999999999991</v>
      </c>
      <c r="G726" s="74">
        <v>0.1</v>
      </c>
      <c r="H726" s="27">
        <f>F726*(1+G726)</f>
        <v>881.76</v>
      </c>
      <c r="I726" s="28" t="s">
        <v>16</v>
      </c>
      <c r="J726" s="135">
        <f>J$592</f>
        <v>0</v>
      </c>
      <c r="K726" s="136">
        <f>J726*H726</f>
        <v>0</v>
      </c>
      <c r="L726" s="137"/>
    </row>
    <row r="727" spans="1:12" s="121" customFormat="1" x14ac:dyDescent="0.2">
      <c r="A727" s="72" t="str">
        <f>IF(F727&lt;&gt;"",1+MAX($A$1:A726),"")</f>
        <v/>
      </c>
      <c r="B727" s="30"/>
      <c r="C727" s="220"/>
      <c r="D727" s="145"/>
      <c r="E727" s="146" t="s">
        <v>22</v>
      </c>
      <c r="F727" s="147"/>
      <c r="G727" s="148"/>
      <c r="H727" s="27">
        <f>ROUNDUP((H726)/32,0)</f>
        <v>28</v>
      </c>
      <c r="I727" s="28" t="s">
        <v>23</v>
      </c>
      <c r="J727" s="135"/>
      <c r="K727" s="136"/>
      <c r="L727" s="137"/>
    </row>
    <row r="728" spans="1:12" s="121" customFormat="1" x14ac:dyDescent="0.2">
      <c r="A728" s="72" t="str">
        <f>IF(F728&lt;&gt;"",1+MAX($A$1:A727),"")</f>
        <v/>
      </c>
      <c r="B728" s="30"/>
      <c r="C728" s="220"/>
      <c r="D728" s="145"/>
      <c r="E728" s="146" t="s">
        <v>24</v>
      </c>
      <c r="F728" s="147"/>
      <c r="G728" s="148"/>
      <c r="H728" s="27">
        <f>ROUNDUP(H727*24/500,0)</f>
        <v>2</v>
      </c>
      <c r="I728" s="28" t="s">
        <v>25</v>
      </c>
      <c r="J728" s="135"/>
      <c r="K728" s="136"/>
      <c r="L728" s="137"/>
    </row>
    <row r="729" spans="1:12" s="121" customFormat="1" x14ac:dyDescent="0.2">
      <c r="A729" s="72" t="str">
        <f>IF(F729&lt;&gt;"",1+MAX($A$1:A728),"")</f>
        <v/>
      </c>
      <c r="B729" s="30"/>
      <c r="C729" s="220"/>
      <c r="D729" s="145"/>
      <c r="E729" s="146" t="s">
        <v>26</v>
      </c>
      <c r="F729" s="147"/>
      <c r="G729" s="148"/>
      <c r="H729" s="149">
        <f>ROUNDUP((H726)/200,0)</f>
        <v>5</v>
      </c>
      <c r="I729" s="28" t="s">
        <v>27</v>
      </c>
      <c r="J729" s="135"/>
      <c r="K729" s="136"/>
      <c r="L729" s="137"/>
    </row>
    <row r="730" spans="1:12" s="121" customFormat="1" x14ac:dyDescent="0.2">
      <c r="A730" s="72" t="str">
        <f>IF(F730&lt;&gt;"",1+MAX($A$1:A729),"")</f>
        <v/>
      </c>
      <c r="B730" s="30"/>
      <c r="C730" s="220"/>
      <c r="D730" s="145"/>
      <c r="E730" s="146" t="s">
        <v>28</v>
      </c>
      <c r="F730" s="147"/>
      <c r="G730" s="148"/>
      <c r="H730" s="149">
        <f>ROUNDUP((H726)*5.25/1000,0)</f>
        <v>5</v>
      </c>
      <c r="I730" s="28" t="s">
        <v>29</v>
      </c>
      <c r="J730" s="135"/>
      <c r="K730" s="136"/>
      <c r="L730" s="137"/>
    </row>
    <row r="731" spans="1:12" s="121" customFormat="1" x14ac:dyDescent="0.2">
      <c r="A731" s="72">
        <f>IF(F731&lt;&gt;"",1+MAX($A$1:A730),"")</f>
        <v>390</v>
      </c>
      <c r="B731" s="2" t="s">
        <v>88</v>
      </c>
      <c r="C731" s="200" t="s">
        <v>95</v>
      </c>
      <c r="D731" s="145"/>
      <c r="E731" s="143" t="s">
        <v>94</v>
      </c>
      <c r="F731" s="13">
        <f>33.4*2</f>
        <v>66.8</v>
      </c>
      <c r="G731" s="74">
        <v>0.1</v>
      </c>
      <c r="H731" s="27">
        <f t="shared" ref="H731:H735" si="200">F731*(1+G731)</f>
        <v>73.48</v>
      </c>
      <c r="I731" s="28" t="s">
        <v>13</v>
      </c>
      <c r="J731" s="135">
        <f>J$490</f>
        <v>0</v>
      </c>
      <c r="K731" s="136">
        <f t="shared" ref="K731:K735" si="201">J731*H731</f>
        <v>0</v>
      </c>
      <c r="L731" s="137"/>
    </row>
    <row r="732" spans="1:12" s="121" customFormat="1" x14ac:dyDescent="0.2">
      <c r="A732" s="72">
        <f>IF(F732&lt;&gt;"",1+MAX($A$1:A731),"")</f>
        <v>391</v>
      </c>
      <c r="B732" s="2" t="s">
        <v>88</v>
      </c>
      <c r="C732" s="200" t="s">
        <v>95</v>
      </c>
      <c r="D732" s="145"/>
      <c r="E732" s="143" t="s">
        <v>110</v>
      </c>
      <c r="F732" s="13">
        <f>33.4*12</f>
        <v>400.79999999999995</v>
      </c>
      <c r="G732" s="74">
        <v>0.1</v>
      </c>
      <c r="H732" s="27">
        <f t="shared" si="200"/>
        <v>440.88</v>
      </c>
      <c r="I732" s="28" t="s">
        <v>16</v>
      </c>
      <c r="J732" s="135">
        <f>J$598</f>
        <v>0</v>
      </c>
      <c r="K732" s="136">
        <f t="shared" si="201"/>
        <v>0</v>
      </c>
      <c r="L732" s="137"/>
    </row>
    <row r="733" spans="1:12" s="121" customFormat="1" x14ac:dyDescent="0.2">
      <c r="A733" s="72">
        <f>IF(F733&lt;&gt;"",1+MAX($A$1:A732),"")</f>
        <v>392</v>
      </c>
      <c r="B733" s="2" t="s">
        <v>88</v>
      </c>
      <c r="C733" s="200" t="s">
        <v>95</v>
      </c>
      <c r="D733" s="145"/>
      <c r="E733" s="143" t="s">
        <v>102</v>
      </c>
      <c r="F733" s="13">
        <f>33.4*12</f>
        <v>400.79999999999995</v>
      </c>
      <c r="G733" s="74">
        <v>0.1</v>
      </c>
      <c r="H733" s="27">
        <f t="shared" si="200"/>
        <v>440.88</v>
      </c>
      <c r="I733" s="28" t="s">
        <v>16</v>
      </c>
      <c r="J733" s="135">
        <f>J$558</f>
        <v>0</v>
      </c>
      <c r="K733" s="136">
        <f t="shared" si="201"/>
        <v>0</v>
      </c>
      <c r="L733" s="137"/>
    </row>
    <row r="734" spans="1:12" s="121" customFormat="1" x14ac:dyDescent="0.2">
      <c r="A734" s="72">
        <f>IF(F734&lt;&gt;"",1+MAX($A$1:A733),"")</f>
        <v>393</v>
      </c>
      <c r="B734" s="2" t="s">
        <v>88</v>
      </c>
      <c r="C734" s="200" t="s">
        <v>95</v>
      </c>
      <c r="D734" s="145"/>
      <c r="E734" s="143" t="s">
        <v>112</v>
      </c>
      <c r="F734" s="13">
        <f>33.4*12</f>
        <v>400.79999999999995</v>
      </c>
      <c r="G734" s="74">
        <v>0.1</v>
      </c>
      <c r="H734" s="27">
        <f t="shared" si="200"/>
        <v>440.88</v>
      </c>
      <c r="I734" s="28" t="s">
        <v>16</v>
      </c>
      <c r="J734" s="135">
        <f>J$600</f>
        <v>0</v>
      </c>
      <c r="K734" s="136">
        <f t="shared" si="201"/>
        <v>0</v>
      </c>
      <c r="L734" s="137"/>
    </row>
    <row r="735" spans="1:12" s="121" customFormat="1" x14ac:dyDescent="0.2">
      <c r="A735" s="72">
        <f>IF(F735&lt;&gt;"",1+MAX($A$1:A734),"")</f>
        <v>394</v>
      </c>
      <c r="B735" s="2" t="s">
        <v>88</v>
      </c>
      <c r="C735" s="200" t="s">
        <v>95</v>
      </c>
      <c r="D735" s="145"/>
      <c r="E735" s="143" t="s">
        <v>113</v>
      </c>
      <c r="F735" s="13">
        <f>33.4*2</f>
        <v>66.8</v>
      </c>
      <c r="G735" s="74">
        <v>0.1</v>
      </c>
      <c r="H735" s="27">
        <f t="shared" si="200"/>
        <v>73.48</v>
      </c>
      <c r="I735" s="28" t="s">
        <v>16</v>
      </c>
      <c r="J735" s="135">
        <f>J$601</f>
        <v>0</v>
      </c>
      <c r="K735" s="136">
        <f t="shared" si="201"/>
        <v>0</v>
      </c>
      <c r="L735" s="137"/>
    </row>
    <row r="736" spans="1:12" s="121" customFormat="1" x14ac:dyDescent="0.2">
      <c r="A736" s="72" t="str">
        <f>IF(F736&lt;&gt;"",1+MAX($A$1:A735),"")</f>
        <v/>
      </c>
      <c r="B736" s="2"/>
      <c r="C736" s="244"/>
      <c r="D736" s="145"/>
      <c r="E736" s="146"/>
      <c r="F736" s="147"/>
      <c r="G736" s="148"/>
      <c r="H736" s="27"/>
      <c r="I736" s="28"/>
      <c r="J736" s="135"/>
      <c r="K736" s="136"/>
      <c r="L736" s="137"/>
    </row>
    <row r="737" spans="1:12" s="121" customFormat="1" x14ac:dyDescent="0.2">
      <c r="A737" s="72" t="str">
        <f>IF(F737&lt;&gt;"",1+MAX($A$1:A736),"")</f>
        <v/>
      </c>
      <c r="B737" s="138"/>
      <c r="C737" s="219"/>
      <c r="D737" s="133"/>
      <c r="E737" s="139" t="s">
        <v>114</v>
      </c>
      <c r="F737" s="134"/>
      <c r="G737" s="20"/>
      <c r="H737" s="140"/>
      <c r="I737" s="4"/>
      <c r="J737" s="141"/>
      <c r="K737" s="142"/>
      <c r="L737" s="137"/>
    </row>
    <row r="738" spans="1:12" s="121" customFormat="1" x14ac:dyDescent="0.2">
      <c r="A738" s="72">
        <f>IF(F738&lt;&gt;"",1+MAX($A$1:A737),"")</f>
        <v>395</v>
      </c>
      <c r="B738" s="2" t="s">
        <v>88</v>
      </c>
      <c r="C738" s="200" t="s">
        <v>95</v>
      </c>
      <c r="D738" s="225"/>
      <c r="E738" s="143" t="s">
        <v>115</v>
      </c>
      <c r="F738" s="13">
        <f>7.9*12*2</f>
        <v>189.60000000000002</v>
      </c>
      <c r="G738" s="74">
        <v>0.1</v>
      </c>
      <c r="H738" s="27">
        <f>F738*(1+G738)</f>
        <v>208.56000000000003</v>
      </c>
      <c r="I738" s="28" t="s">
        <v>16</v>
      </c>
      <c r="J738" s="135">
        <f>J$512</f>
        <v>0</v>
      </c>
      <c r="K738" s="136">
        <f>J738*H738</f>
        <v>0</v>
      </c>
      <c r="L738" s="137"/>
    </row>
    <row r="739" spans="1:12" s="121" customFormat="1" x14ac:dyDescent="0.2">
      <c r="A739" s="72" t="str">
        <f>IF(F739&lt;&gt;"",1+MAX($A$1:A738),"")</f>
        <v/>
      </c>
      <c r="B739" s="30"/>
      <c r="C739" s="220"/>
      <c r="D739" s="145"/>
      <c r="E739" s="146" t="s">
        <v>22</v>
      </c>
      <c r="F739" s="147"/>
      <c r="G739" s="148"/>
      <c r="H739" s="27">
        <f>ROUNDUP((H738)/32,0)</f>
        <v>7</v>
      </c>
      <c r="I739" s="28" t="s">
        <v>23</v>
      </c>
      <c r="J739" s="135"/>
      <c r="K739" s="136"/>
      <c r="L739" s="137"/>
    </row>
    <row r="740" spans="1:12" s="121" customFormat="1" x14ac:dyDescent="0.2">
      <c r="A740" s="72" t="str">
        <f>IF(F740&lt;&gt;"",1+MAX($A$1:A739),"")</f>
        <v/>
      </c>
      <c r="B740" s="30"/>
      <c r="C740" s="220"/>
      <c r="D740" s="145"/>
      <c r="E740" s="146" t="s">
        <v>24</v>
      </c>
      <c r="F740" s="147"/>
      <c r="G740" s="148"/>
      <c r="H740" s="27">
        <f>ROUNDUP(H739*24/500,0)</f>
        <v>1</v>
      </c>
      <c r="I740" s="28" t="s">
        <v>25</v>
      </c>
      <c r="J740" s="135"/>
      <c r="K740" s="136"/>
      <c r="L740" s="137"/>
    </row>
    <row r="741" spans="1:12" s="121" customFormat="1" x14ac:dyDescent="0.2">
      <c r="A741" s="72" t="str">
        <f>IF(F741&lt;&gt;"",1+MAX($A$1:A740),"")</f>
        <v/>
      </c>
      <c r="B741" s="30"/>
      <c r="C741" s="220"/>
      <c r="D741" s="145"/>
      <c r="E741" s="146" t="s">
        <v>26</v>
      </c>
      <c r="F741" s="147"/>
      <c r="G741" s="148"/>
      <c r="H741" s="149">
        <f>ROUNDUP((H738)/200,0)</f>
        <v>2</v>
      </c>
      <c r="I741" s="28" t="s">
        <v>27</v>
      </c>
      <c r="J741" s="135"/>
      <c r="K741" s="136"/>
      <c r="L741" s="137"/>
    </row>
    <row r="742" spans="1:12" s="121" customFormat="1" x14ac:dyDescent="0.2">
      <c r="A742" s="72" t="str">
        <f>IF(F742&lt;&gt;"",1+MAX($A$1:A741),"")</f>
        <v/>
      </c>
      <c r="B742" s="30"/>
      <c r="C742" s="220"/>
      <c r="D742" s="145"/>
      <c r="E742" s="146" t="s">
        <v>28</v>
      </c>
      <c r="F742" s="147"/>
      <c r="G742" s="148"/>
      <c r="H742" s="149">
        <f>ROUNDUP((H738)*5.25/1000,0)</f>
        <v>2</v>
      </c>
      <c r="I742" s="28" t="s">
        <v>29</v>
      </c>
      <c r="J742" s="135"/>
      <c r="K742" s="136"/>
      <c r="L742" s="137"/>
    </row>
    <row r="743" spans="1:12" s="121" customFormat="1" x14ac:dyDescent="0.2">
      <c r="A743" s="72">
        <f>IF(F743&lt;&gt;"",1+MAX($A$1:A742),"")</f>
        <v>396</v>
      </c>
      <c r="B743" s="2" t="s">
        <v>88</v>
      </c>
      <c r="C743" s="200" t="s">
        <v>95</v>
      </c>
      <c r="D743" s="145"/>
      <c r="E743" s="143" t="s">
        <v>94</v>
      </c>
      <c r="F743" s="13">
        <f>7.9*2</f>
        <v>15.8</v>
      </c>
      <c r="G743" s="74">
        <v>0.1</v>
      </c>
      <c r="H743" s="27">
        <f t="shared" ref="H743:H747" si="202">F743*(1+G743)</f>
        <v>17.380000000000003</v>
      </c>
      <c r="I743" s="28" t="s">
        <v>13</v>
      </c>
      <c r="J743" s="135">
        <f>J$490</f>
        <v>0</v>
      </c>
      <c r="K743" s="136">
        <f t="shared" ref="K743:K747" si="203">J743*H743</f>
        <v>0</v>
      </c>
      <c r="L743" s="137"/>
    </row>
    <row r="744" spans="1:12" s="121" customFormat="1" x14ac:dyDescent="0.2">
      <c r="A744" s="72">
        <f>IF(F744&lt;&gt;"",1+MAX($A$1:A743),"")</f>
        <v>397</v>
      </c>
      <c r="B744" s="2" t="s">
        <v>88</v>
      </c>
      <c r="C744" s="200" t="s">
        <v>95</v>
      </c>
      <c r="D744" s="145"/>
      <c r="E744" s="143" t="s">
        <v>110</v>
      </c>
      <c r="F744" s="13">
        <f>7.9*12</f>
        <v>94.800000000000011</v>
      </c>
      <c r="G744" s="74">
        <v>0.1</v>
      </c>
      <c r="H744" s="27">
        <f t="shared" si="202"/>
        <v>104.28000000000002</v>
      </c>
      <c r="I744" s="28" t="s">
        <v>16</v>
      </c>
      <c r="J744" s="135">
        <f>J$598</f>
        <v>0</v>
      </c>
      <c r="K744" s="136">
        <f t="shared" si="203"/>
        <v>0</v>
      </c>
      <c r="L744" s="137"/>
    </row>
    <row r="745" spans="1:12" s="121" customFormat="1" x14ac:dyDescent="0.2">
      <c r="A745" s="72">
        <f>IF(F745&lt;&gt;"",1+MAX($A$1:A744),"")</f>
        <v>398</v>
      </c>
      <c r="B745" s="2" t="s">
        <v>88</v>
      </c>
      <c r="C745" s="200" t="s">
        <v>95</v>
      </c>
      <c r="D745" s="145"/>
      <c r="E745" s="143" t="s">
        <v>102</v>
      </c>
      <c r="F745" s="13">
        <f t="shared" ref="F745:F746" si="204">7.9*12</f>
        <v>94.800000000000011</v>
      </c>
      <c r="G745" s="74">
        <v>0.1</v>
      </c>
      <c r="H745" s="27">
        <f t="shared" si="202"/>
        <v>104.28000000000002</v>
      </c>
      <c r="I745" s="28" t="s">
        <v>16</v>
      </c>
      <c r="J745" s="135">
        <f>J$558</f>
        <v>0</v>
      </c>
      <c r="K745" s="136">
        <f t="shared" si="203"/>
        <v>0</v>
      </c>
      <c r="L745" s="137"/>
    </row>
    <row r="746" spans="1:12" s="121" customFormat="1" x14ac:dyDescent="0.2">
      <c r="A746" s="72">
        <f>IF(F746&lt;&gt;"",1+MAX($A$1:A745),"")</f>
        <v>399</v>
      </c>
      <c r="B746" s="2" t="s">
        <v>88</v>
      </c>
      <c r="C746" s="200" t="s">
        <v>95</v>
      </c>
      <c r="D746" s="145"/>
      <c r="E746" s="143" t="s">
        <v>112</v>
      </c>
      <c r="F746" s="13">
        <f t="shared" si="204"/>
        <v>94.800000000000011</v>
      </c>
      <c r="G746" s="74">
        <v>0.1</v>
      </c>
      <c r="H746" s="27">
        <f t="shared" si="202"/>
        <v>104.28000000000002</v>
      </c>
      <c r="I746" s="28" t="s">
        <v>16</v>
      </c>
      <c r="J746" s="135">
        <f>J$600</f>
        <v>0</v>
      </c>
      <c r="K746" s="136">
        <f t="shared" si="203"/>
        <v>0</v>
      </c>
      <c r="L746" s="137"/>
    </row>
    <row r="747" spans="1:12" s="121" customFormat="1" x14ac:dyDescent="0.2">
      <c r="A747" s="72">
        <f>IF(F747&lt;&gt;"",1+MAX($A$1:A746),"")</f>
        <v>400</v>
      </c>
      <c r="B747" s="2" t="s">
        <v>88</v>
      </c>
      <c r="C747" s="200" t="s">
        <v>95</v>
      </c>
      <c r="D747" s="145"/>
      <c r="E747" s="143" t="s">
        <v>113</v>
      </c>
      <c r="F747" s="13">
        <f>7.9*2</f>
        <v>15.8</v>
      </c>
      <c r="G747" s="74">
        <v>0.1</v>
      </c>
      <c r="H747" s="27">
        <f t="shared" si="202"/>
        <v>17.380000000000003</v>
      </c>
      <c r="I747" s="28" t="s">
        <v>16</v>
      </c>
      <c r="J747" s="135">
        <f>J$601</f>
        <v>0</v>
      </c>
      <c r="K747" s="136">
        <f t="shared" si="203"/>
        <v>0</v>
      </c>
      <c r="L747" s="137"/>
    </row>
    <row r="748" spans="1:12" s="121" customFormat="1" x14ac:dyDescent="0.2">
      <c r="A748" s="72" t="str">
        <f>IF(F748&lt;&gt;"",1+MAX($A$1:A747),"")</f>
        <v/>
      </c>
      <c r="B748" s="2"/>
      <c r="C748" s="244"/>
      <c r="D748" s="145"/>
      <c r="E748" s="146"/>
      <c r="F748" s="147"/>
      <c r="G748" s="148"/>
      <c r="H748" s="27"/>
      <c r="I748" s="28"/>
      <c r="J748" s="135"/>
      <c r="K748" s="136"/>
      <c r="L748" s="137"/>
    </row>
    <row r="749" spans="1:12" s="121" customFormat="1" x14ac:dyDescent="0.2">
      <c r="A749" s="72" t="str">
        <f>IF(F749&lt;&gt;"",1+MAX($A$1:A748),"")</f>
        <v/>
      </c>
      <c r="B749" s="138"/>
      <c r="C749" s="219"/>
      <c r="D749" s="133"/>
      <c r="E749" s="139" t="s">
        <v>116</v>
      </c>
      <c r="F749" s="134"/>
      <c r="G749" s="20"/>
      <c r="H749" s="140"/>
      <c r="I749" s="4"/>
      <c r="J749" s="141"/>
      <c r="K749" s="142"/>
      <c r="L749" s="137"/>
    </row>
    <row r="750" spans="1:12" s="121" customFormat="1" x14ac:dyDescent="0.2">
      <c r="A750" s="72">
        <f>IF(F750&lt;&gt;"",1+MAX($A$1:A749),"")</f>
        <v>401</v>
      </c>
      <c r="B750" s="2" t="s">
        <v>88</v>
      </c>
      <c r="C750" s="200" t="s">
        <v>95</v>
      </c>
      <c r="D750" s="225"/>
      <c r="E750" s="143" t="s">
        <v>104</v>
      </c>
      <c r="F750" s="13">
        <f>2.1*12</f>
        <v>25.200000000000003</v>
      </c>
      <c r="G750" s="74">
        <v>0.1</v>
      </c>
      <c r="H750" s="27">
        <f>F750*(1+G750)</f>
        <v>27.720000000000006</v>
      </c>
      <c r="I750" s="28" t="s">
        <v>16</v>
      </c>
      <c r="J750" s="135">
        <f>J$512</f>
        <v>0</v>
      </c>
      <c r="K750" s="136">
        <f>J750*H750</f>
        <v>0</v>
      </c>
      <c r="L750" s="137"/>
    </row>
    <row r="751" spans="1:12" s="121" customFormat="1" x14ac:dyDescent="0.2">
      <c r="A751" s="72" t="str">
        <f>IF(F751&lt;&gt;"",1+MAX($A$1:A750),"")</f>
        <v/>
      </c>
      <c r="B751" s="30"/>
      <c r="C751" s="220"/>
      <c r="D751" s="145"/>
      <c r="E751" s="146" t="s">
        <v>22</v>
      </c>
      <c r="F751" s="147"/>
      <c r="G751" s="148"/>
      <c r="H751" s="27">
        <f>ROUNDUP((H750)/32,0)</f>
        <v>1</v>
      </c>
      <c r="I751" s="28" t="s">
        <v>23</v>
      </c>
      <c r="J751" s="135"/>
      <c r="K751" s="136"/>
      <c r="L751" s="137"/>
    </row>
    <row r="752" spans="1:12" s="121" customFormat="1" x14ac:dyDescent="0.2">
      <c r="A752" s="72" t="str">
        <f>IF(F752&lt;&gt;"",1+MAX($A$1:A751),"")</f>
        <v/>
      </c>
      <c r="B752" s="30"/>
      <c r="C752" s="220"/>
      <c r="D752" s="145"/>
      <c r="E752" s="146" t="s">
        <v>24</v>
      </c>
      <c r="F752" s="147"/>
      <c r="G752" s="148"/>
      <c r="H752" s="27">
        <f>ROUNDUP(H751*24/500,0)</f>
        <v>1</v>
      </c>
      <c r="I752" s="28" t="s">
        <v>25</v>
      </c>
      <c r="J752" s="135"/>
      <c r="K752" s="136"/>
      <c r="L752" s="137"/>
    </row>
    <row r="753" spans="1:12" s="121" customFormat="1" x14ac:dyDescent="0.2">
      <c r="A753" s="72" t="str">
        <f>IF(F753&lt;&gt;"",1+MAX($A$1:A752),"")</f>
        <v/>
      </c>
      <c r="B753" s="30"/>
      <c r="C753" s="220"/>
      <c r="D753" s="145"/>
      <c r="E753" s="146" t="s">
        <v>26</v>
      </c>
      <c r="F753" s="147"/>
      <c r="G753" s="148"/>
      <c r="H753" s="149">
        <f>ROUNDUP((H750)/200,0)</f>
        <v>1</v>
      </c>
      <c r="I753" s="28" t="s">
        <v>27</v>
      </c>
      <c r="J753" s="135"/>
      <c r="K753" s="136"/>
      <c r="L753" s="137"/>
    </row>
    <row r="754" spans="1:12" s="121" customFormat="1" x14ac:dyDescent="0.2">
      <c r="A754" s="72" t="str">
        <f>IF(F754&lt;&gt;"",1+MAX($A$1:A753),"")</f>
        <v/>
      </c>
      <c r="B754" s="30"/>
      <c r="C754" s="220"/>
      <c r="D754" s="145"/>
      <c r="E754" s="146" t="s">
        <v>28</v>
      </c>
      <c r="F754" s="147"/>
      <c r="G754" s="148"/>
      <c r="H754" s="149">
        <f>ROUNDUP((H750)*5.25/1000,0)</f>
        <v>1</v>
      </c>
      <c r="I754" s="28" t="s">
        <v>29</v>
      </c>
      <c r="J754" s="135"/>
      <c r="K754" s="136"/>
      <c r="L754" s="137"/>
    </row>
    <row r="755" spans="1:12" s="121" customFormat="1" x14ac:dyDescent="0.2">
      <c r="A755" s="72">
        <f>IF(F755&lt;&gt;"",1+MAX($A$1:A754),"")</f>
        <v>402</v>
      </c>
      <c r="B755" s="2" t="s">
        <v>88</v>
      </c>
      <c r="C755" s="200" t="s">
        <v>95</v>
      </c>
      <c r="D755" s="145"/>
      <c r="E755" s="143" t="s">
        <v>94</v>
      </c>
      <c r="F755" s="13">
        <f>2.1*2</f>
        <v>4.2</v>
      </c>
      <c r="G755" s="74">
        <v>0.1</v>
      </c>
      <c r="H755" s="27">
        <f t="shared" ref="H755:H759" si="205">F755*(1+G755)</f>
        <v>4.620000000000001</v>
      </c>
      <c r="I755" s="28" t="s">
        <v>13</v>
      </c>
      <c r="J755" s="135">
        <f>J$490</f>
        <v>0</v>
      </c>
      <c r="K755" s="136">
        <f t="shared" ref="K755:K759" si="206">J755*H755</f>
        <v>0</v>
      </c>
      <c r="L755" s="137"/>
    </row>
    <row r="756" spans="1:12" s="121" customFormat="1" x14ac:dyDescent="0.2">
      <c r="A756" s="72">
        <f>IF(F756&lt;&gt;"",1+MAX($A$1:A755),"")</f>
        <v>403</v>
      </c>
      <c r="B756" s="2" t="s">
        <v>88</v>
      </c>
      <c r="C756" s="200" t="s">
        <v>95</v>
      </c>
      <c r="D756" s="145"/>
      <c r="E756" s="143" t="s">
        <v>110</v>
      </c>
      <c r="F756" s="13">
        <f t="shared" ref="F756:F758" si="207">2.1*12</f>
        <v>25.200000000000003</v>
      </c>
      <c r="G756" s="74">
        <v>0.1</v>
      </c>
      <c r="H756" s="27">
        <f t="shared" si="205"/>
        <v>27.720000000000006</v>
      </c>
      <c r="I756" s="28" t="s">
        <v>16</v>
      </c>
      <c r="J756" s="135">
        <f>J$598</f>
        <v>0</v>
      </c>
      <c r="K756" s="136">
        <f t="shared" si="206"/>
        <v>0</v>
      </c>
      <c r="L756" s="137"/>
    </row>
    <row r="757" spans="1:12" s="121" customFormat="1" x14ac:dyDescent="0.2">
      <c r="A757" s="72">
        <f>IF(F757&lt;&gt;"",1+MAX($A$1:A756),"")</f>
        <v>404</v>
      </c>
      <c r="B757" s="2" t="s">
        <v>88</v>
      </c>
      <c r="C757" s="200" t="s">
        <v>95</v>
      </c>
      <c r="D757" s="145"/>
      <c r="E757" s="143" t="s">
        <v>102</v>
      </c>
      <c r="F757" s="13">
        <f t="shared" si="207"/>
        <v>25.200000000000003</v>
      </c>
      <c r="G757" s="74">
        <v>0.1</v>
      </c>
      <c r="H757" s="27">
        <f t="shared" si="205"/>
        <v>27.720000000000006</v>
      </c>
      <c r="I757" s="28" t="s">
        <v>16</v>
      </c>
      <c r="J757" s="135">
        <f>J$558</f>
        <v>0</v>
      </c>
      <c r="K757" s="136">
        <f t="shared" si="206"/>
        <v>0</v>
      </c>
      <c r="L757" s="137"/>
    </row>
    <row r="758" spans="1:12" s="121" customFormat="1" x14ac:dyDescent="0.2">
      <c r="A758" s="72">
        <f>IF(F758&lt;&gt;"",1+MAX($A$1:A757),"")</f>
        <v>405</v>
      </c>
      <c r="B758" s="2" t="s">
        <v>88</v>
      </c>
      <c r="C758" s="200" t="s">
        <v>95</v>
      </c>
      <c r="D758" s="145"/>
      <c r="E758" s="143" t="s">
        <v>112</v>
      </c>
      <c r="F758" s="13">
        <f t="shared" si="207"/>
        <v>25.200000000000003</v>
      </c>
      <c r="G758" s="74">
        <v>0.1</v>
      </c>
      <c r="H758" s="27">
        <f t="shared" si="205"/>
        <v>27.720000000000006</v>
      </c>
      <c r="I758" s="28" t="s">
        <v>16</v>
      </c>
      <c r="J758" s="135">
        <f>J$600</f>
        <v>0</v>
      </c>
      <c r="K758" s="136">
        <f t="shared" si="206"/>
        <v>0</v>
      </c>
      <c r="L758" s="137"/>
    </row>
    <row r="759" spans="1:12" s="121" customFormat="1" x14ac:dyDescent="0.2">
      <c r="A759" s="72">
        <f>IF(F759&lt;&gt;"",1+MAX($A$1:A758),"")</f>
        <v>406</v>
      </c>
      <c r="B759" s="2" t="s">
        <v>88</v>
      </c>
      <c r="C759" s="200" t="s">
        <v>95</v>
      </c>
      <c r="D759" s="145"/>
      <c r="E759" s="143" t="s">
        <v>113</v>
      </c>
      <c r="F759" s="13">
        <f>2.1*2</f>
        <v>4.2</v>
      </c>
      <c r="G759" s="74">
        <v>0.1</v>
      </c>
      <c r="H759" s="27">
        <f t="shared" si="205"/>
        <v>4.620000000000001</v>
      </c>
      <c r="I759" s="28" t="s">
        <v>16</v>
      </c>
      <c r="J759" s="135">
        <f>J$601</f>
        <v>0</v>
      </c>
      <c r="K759" s="136">
        <f t="shared" si="206"/>
        <v>0</v>
      </c>
      <c r="L759" s="137"/>
    </row>
    <row r="760" spans="1:12" s="121" customFormat="1" x14ac:dyDescent="0.2">
      <c r="A760" s="72" t="str">
        <f>IF(F760&lt;&gt;"",1+MAX($A$1:A759),"")</f>
        <v/>
      </c>
      <c r="B760" s="2"/>
      <c r="C760" s="244"/>
      <c r="D760" s="145"/>
      <c r="E760" s="146"/>
      <c r="F760" s="147"/>
      <c r="G760" s="148"/>
      <c r="H760" s="27"/>
      <c r="I760" s="28"/>
      <c r="J760" s="135"/>
      <c r="K760" s="136"/>
      <c r="L760" s="137"/>
    </row>
    <row r="761" spans="1:12" s="121" customFormat="1" x14ac:dyDescent="0.2">
      <c r="A761" s="72" t="str">
        <f>IF(F761&lt;&gt;"",1+MAX($A$1:A760),"")</f>
        <v/>
      </c>
      <c r="B761" s="138"/>
      <c r="C761" s="219"/>
      <c r="D761" s="133"/>
      <c r="E761" s="139" t="s">
        <v>117</v>
      </c>
      <c r="F761" s="134"/>
      <c r="G761" s="20"/>
      <c r="H761" s="140"/>
      <c r="I761" s="4"/>
      <c r="J761" s="141"/>
      <c r="K761" s="142"/>
      <c r="L761" s="137"/>
    </row>
    <row r="762" spans="1:12" s="121" customFormat="1" x14ac:dyDescent="0.2">
      <c r="A762" s="72">
        <f>IF(F762&lt;&gt;"",1+MAX($A$1:A761),"")</f>
        <v>407</v>
      </c>
      <c r="B762" s="2" t="s">
        <v>88</v>
      </c>
      <c r="C762" s="200" t="s">
        <v>95</v>
      </c>
      <c r="D762" s="225"/>
      <c r="E762" s="143" t="s">
        <v>104</v>
      </c>
      <c r="F762" s="13">
        <f>19.6*12</f>
        <v>235.20000000000002</v>
      </c>
      <c r="G762" s="74">
        <v>0.1</v>
      </c>
      <c r="H762" s="27">
        <f>F762*(1+G762)</f>
        <v>258.72000000000003</v>
      </c>
      <c r="I762" s="28" t="s">
        <v>16</v>
      </c>
      <c r="J762" s="135">
        <f>J$512</f>
        <v>0</v>
      </c>
      <c r="K762" s="136">
        <f>J762*H762</f>
        <v>0</v>
      </c>
      <c r="L762" s="137"/>
    </row>
    <row r="763" spans="1:12" s="121" customFormat="1" x14ac:dyDescent="0.2">
      <c r="A763" s="72" t="str">
        <f>IF(F763&lt;&gt;"",1+MAX($A$1:A762),"")</f>
        <v/>
      </c>
      <c r="B763" s="30"/>
      <c r="C763" s="220"/>
      <c r="D763" s="145"/>
      <c r="E763" s="146" t="s">
        <v>22</v>
      </c>
      <c r="F763" s="147"/>
      <c r="G763" s="148"/>
      <c r="H763" s="27">
        <f>ROUNDUP((H762)/32,0)</f>
        <v>9</v>
      </c>
      <c r="I763" s="28" t="s">
        <v>23</v>
      </c>
      <c r="J763" s="135"/>
      <c r="K763" s="136"/>
      <c r="L763" s="137"/>
    </row>
    <row r="764" spans="1:12" s="121" customFormat="1" x14ac:dyDescent="0.2">
      <c r="A764" s="72" t="str">
        <f>IF(F764&lt;&gt;"",1+MAX($A$1:A763),"")</f>
        <v/>
      </c>
      <c r="B764" s="30"/>
      <c r="C764" s="220"/>
      <c r="D764" s="145"/>
      <c r="E764" s="146" t="s">
        <v>24</v>
      </c>
      <c r="F764" s="147"/>
      <c r="G764" s="148"/>
      <c r="H764" s="27">
        <f>ROUNDUP(H763*24/500,0)</f>
        <v>1</v>
      </c>
      <c r="I764" s="28" t="s">
        <v>25</v>
      </c>
      <c r="J764" s="135"/>
      <c r="K764" s="136"/>
      <c r="L764" s="137"/>
    </row>
    <row r="765" spans="1:12" s="121" customFormat="1" x14ac:dyDescent="0.2">
      <c r="A765" s="72" t="str">
        <f>IF(F765&lt;&gt;"",1+MAX($A$1:A764),"")</f>
        <v/>
      </c>
      <c r="B765" s="30"/>
      <c r="C765" s="220"/>
      <c r="D765" s="145"/>
      <c r="E765" s="146" t="s">
        <v>26</v>
      </c>
      <c r="F765" s="147"/>
      <c r="G765" s="148"/>
      <c r="H765" s="149">
        <f>ROUNDUP((H762)/200,0)</f>
        <v>2</v>
      </c>
      <c r="I765" s="28" t="s">
        <v>27</v>
      </c>
      <c r="J765" s="135"/>
      <c r="K765" s="136"/>
      <c r="L765" s="137"/>
    </row>
    <row r="766" spans="1:12" s="121" customFormat="1" x14ac:dyDescent="0.2">
      <c r="A766" s="72" t="str">
        <f>IF(F766&lt;&gt;"",1+MAX($A$1:A765),"")</f>
        <v/>
      </c>
      <c r="B766" s="30"/>
      <c r="C766" s="220"/>
      <c r="D766" s="145"/>
      <c r="E766" s="146" t="s">
        <v>28</v>
      </c>
      <c r="F766" s="147"/>
      <c r="G766" s="148"/>
      <c r="H766" s="149">
        <f>ROUNDUP((H762)*5.25/1000,0)</f>
        <v>2</v>
      </c>
      <c r="I766" s="28" t="s">
        <v>29</v>
      </c>
      <c r="J766" s="135"/>
      <c r="K766" s="136"/>
      <c r="L766" s="137"/>
    </row>
    <row r="767" spans="1:12" s="121" customFormat="1" x14ac:dyDescent="0.2">
      <c r="A767" s="72">
        <f>IF(F767&lt;&gt;"",1+MAX($A$1:A766),"")</f>
        <v>408</v>
      </c>
      <c r="B767" s="2" t="s">
        <v>88</v>
      </c>
      <c r="C767" s="200" t="s">
        <v>95</v>
      </c>
      <c r="D767" s="145"/>
      <c r="E767" s="143" t="s">
        <v>94</v>
      </c>
      <c r="F767" s="13">
        <f>19.6*2</f>
        <v>39.200000000000003</v>
      </c>
      <c r="G767" s="74">
        <v>0.1</v>
      </c>
      <c r="H767" s="27">
        <f t="shared" ref="H767:H768" si="208">F767*(1+G767)</f>
        <v>43.120000000000005</v>
      </c>
      <c r="I767" s="28" t="s">
        <v>13</v>
      </c>
      <c r="J767" s="135">
        <f>J$490</f>
        <v>0</v>
      </c>
      <c r="K767" s="136">
        <f t="shared" ref="K767:K768" si="209">J767*H767</f>
        <v>0</v>
      </c>
      <c r="L767" s="137"/>
    </row>
    <row r="768" spans="1:12" s="121" customFormat="1" x14ac:dyDescent="0.2">
      <c r="A768" s="72">
        <f>IF(F768&lt;&gt;"",1+MAX($A$1:A767),"")</f>
        <v>409</v>
      </c>
      <c r="B768" s="2" t="s">
        <v>88</v>
      </c>
      <c r="C768" s="200" t="s">
        <v>95</v>
      </c>
      <c r="D768" s="145"/>
      <c r="E768" s="143" t="s">
        <v>102</v>
      </c>
      <c r="F768" s="13">
        <f t="shared" ref="F768" si="210">19.6*12</f>
        <v>235.20000000000002</v>
      </c>
      <c r="G768" s="74">
        <v>0.1</v>
      </c>
      <c r="H768" s="27">
        <f t="shared" si="208"/>
        <v>258.72000000000003</v>
      </c>
      <c r="I768" s="28" t="s">
        <v>16</v>
      </c>
      <c r="J768" s="135">
        <f>J$558</f>
        <v>0</v>
      </c>
      <c r="K768" s="136">
        <f t="shared" si="209"/>
        <v>0</v>
      </c>
      <c r="L768" s="137"/>
    </row>
    <row r="769" spans="1:12" s="121" customFormat="1" x14ac:dyDescent="0.2">
      <c r="A769" s="72" t="str">
        <f>IF(F769&lt;&gt;"",1+MAX($A$1:A768),"")</f>
        <v/>
      </c>
      <c r="B769" s="2"/>
      <c r="C769" s="244"/>
      <c r="D769" s="145"/>
      <c r="E769" s="146"/>
      <c r="F769" s="147"/>
      <c r="G769" s="148"/>
      <c r="H769" s="27"/>
      <c r="I769" s="28"/>
      <c r="J769" s="135"/>
      <c r="K769" s="136"/>
      <c r="L769" s="137"/>
    </row>
    <row r="770" spans="1:12" s="121" customFormat="1" x14ac:dyDescent="0.2">
      <c r="A770" s="72" t="str">
        <f>IF(F770&lt;&gt;"",1+MAX($A$1:A769),"")</f>
        <v/>
      </c>
      <c r="B770" s="138"/>
      <c r="C770" s="219"/>
      <c r="D770" s="133"/>
      <c r="E770" s="139" t="s">
        <v>122</v>
      </c>
      <c r="F770" s="134"/>
      <c r="G770" s="20"/>
      <c r="H770" s="140"/>
      <c r="I770" s="4"/>
      <c r="J770" s="141"/>
      <c r="K770" s="142"/>
      <c r="L770" s="137"/>
    </row>
    <row r="771" spans="1:12" s="121" customFormat="1" x14ac:dyDescent="0.2">
      <c r="A771" s="72">
        <f>IF(F771&lt;&gt;"",1+MAX($A$1:A770),"")</f>
        <v>410</v>
      </c>
      <c r="B771" s="2" t="s">
        <v>88</v>
      </c>
      <c r="C771" s="200" t="s">
        <v>95</v>
      </c>
      <c r="D771" s="225"/>
      <c r="E771" s="143" t="s">
        <v>97</v>
      </c>
      <c r="F771" s="13">
        <f>12.3*12</f>
        <v>147.60000000000002</v>
      </c>
      <c r="G771" s="74">
        <v>0.1</v>
      </c>
      <c r="H771" s="27">
        <f>F771*(1+G771)</f>
        <v>162.36000000000004</v>
      </c>
      <c r="I771" s="28" t="s">
        <v>16</v>
      </c>
      <c r="J771" s="135">
        <f>J$485</f>
        <v>0</v>
      </c>
      <c r="K771" s="136">
        <f>J771*H771</f>
        <v>0</v>
      </c>
      <c r="L771" s="137"/>
    </row>
    <row r="772" spans="1:12" s="121" customFormat="1" x14ac:dyDescent="0.2">
      <c r="A772" s="72" t="str">
        <f>IF(F772&lt;&gt;"",1+MAX($A$1:A771),"")</f>
        <v/>
      </c>
      <c r="B772" s="30"/>
      <c r="C772" s="220"/>
      <c r="D772" s="145"/>
      <c r="E772" s="146" t="s">
        <v>22</v>
      </c>
      <c r="F772" s="147"/>
      <c r="G772" s="148"/>
      <c r="H772" s="27">
        <f>ROUNDUP((H771)/32,0)</f>
        <v>6</v>
      </c>
      <c r="I772" s="28" t="s">
        <v>23</v>
      </c>
      <c r="J772" s="135"/>
      <c r="K772" s="136"/>
      <c r="L772" s="137"/>
    </row>
    <row r="773" spans="1:12" s="121" customFormat="1" x14ac:dyDescent="0.2">
      <c r="A773" s="72" t="str">
        <f>IF(F773&lt;&gt;"",1+MAX($A$1:A772),"")</f>
        <v/>
      </c>
      <c r="B773" s="30"/>
      <c r="C773" s="220"/>
      <c r="D773" s="145"/>
      <c r="E773" s="146" t="s">
        <v>24</v>
      </c>
      <c r="F773" s="147"/>
      <c r="G773" s="148"/>
      <c r="H773" s="27">
        <f>ROUNDUP(H772*24/500,0)</f>
        <v>1</v>
      </c>
      <c r="I773" s="28" t="s">
        <v>25</v>
      </c>
      <c r="J773" s="135"/>
      <c r="K773" s="136"/>
      <c r="L773" s="137"/>
    </row>
    <row r="774" spans="1:12" s="121" customFormat="1" x14ac:dyDescent="0.2">
      <c r="A774" s="72" t="str">
        <f>IF(F774&lt;&gt;"",1+MAX($A$1:A773),"")</f>
        <v/>
      </c>
      <c r="B774" s="30"/>
      <c r="C774" s="220"/>
      <c r="D774" s="145"/>
      <c r="E774" s="146" t="s">
        <v>26</v>
      </c>
      <c r="F774" s="147"/>
      <c r="G774" s="148"/>
      <c r="H774" s="149">
        <f>ROUNDUP((H771)/200,0)</f>
        <v>1</v>
      </c>
      <c r="I774" s="28" t="s">
        <v>27</v>
      </c>
      <c r="J774" s="135"/>
      <c r="K774" s="136"/>
      <c r="L774" s="137"/>
    </row>
    <row r="775" spans="1:12" s="121" customFormat="1" x14ac:dyDescent="0.2">
      <c r="A775" s="72" t="str">
        <f>IF(F775&lt;&gt;"",1+MAX($A$1:A774),"")</f>
        <v/>
      </c>
      <c r="B775" s="30"/>
      <c r="C775" s="220"/>
      <c r="D775" s="145"/>
      <c r="E775" s="146" t="s">
        <v>28</v>
      </c>
      <c r="F775" s="147"/>
      <c r="G775" s="148"/>
      <c r="H775" s="149">
        <f>ROUNDUP((H771)*5.25/1000,0)</f>
        <v>1</v>
      </c>
      <c r="I775" s="28" t="s">
        <v>29</v>
      </c>
      <c r="J775" s="135"/>
      <c r="K775" s="136"/>
      <c r="L775" s="137"/>
    </row>
    <row r="776" spans="1:12" s="121" customFormat="1" x14ac:dyDescent="0.2">
      <c r="A776" s="72">
        <f>IF(F776&lt;&gt;"",1+MAX($A$1:A775),"")</f>
        <v>411</v>
      </c>
      <c r="B776" s="2" t="s">
        <v>88</v>
      </c>
      <c r="C776" s="200" t="s">
        <v>95</v>
      </c>
      <c r="D776" s="145"/>
      <c r="E776" s="143" t="s">
        <v>94</v>
      </c>
      <c r="F776" s="13">
        <f>12.3*2</f>
        <v>24.6</v>
      </c>
      <c r="G776" s="74">
        <v>0.1</v>
      </c>
      <c r="H776" s="27">
        <f t="shared" ref="H776:H777" si="211">F776*(1+G776)</f>
        <v>27.060000000000002</v>
      </c>
      <c r="I776" s="28" t="s">
        <v>13</v>
      </c>
      <c r="J776" s="135">
        <f>J$490</f>
        <v>0</v>
      </c>
      <c r="K776" s="136">
        <f t="shared" ref="K776:K777" si="212">J776*H776</f>
        <v>0</v>
      </c>
      <c r="L776" s="137"/>
    </row>
    <row r="777" spans="1:12" s="121" customFormat="1" x14ac:dyDescent="0.2">
      <c r="A777" s="72">
        <f>IF(F777&lt;&gt;"",1+MAX($A$1:A776),"")</f>
        <v>412</v>
      </c>
      <c r="B777" s="2" t="s">
        <v>88</v>
      </c>
      <c r="C777" s="200" t="s">
        <v>95</v>
      </c>
      <c r="D777" s="468"/>
      <c r="E777" s="143" t="s">
        <v>123</v>
      </c>
      <c r="F777" s="13">
        <f t="shared" ref="F777" si="213">12.3*12</f>
        <v>147.60000000000002</v>
      </c>
      <c r="G777" s="74">
        <v>0.1</v>
      </c>
      <c r="H777" s="27">
        <f t="shared" si="211"/>
        <v>162.36000000000004</v>
      </c>
      <c r="I777" s="28" t="s">
        <v>16</v>
      </c>
      <c r="J777" s="135">
        <f>J$500</f>
        <v>0</v>
      </c>
      <c r="K777" s="136">
        <f t="shared" si="212"/>
        <v>0</v>
      </c>
      <c r="L777" s="137"/>
    </row>
    <row r="778" spans="1:12" s="121" customFormat="1" x14ac:dyDescent="0.2">
      <c r="A778" s="72" t="str">
        <f>IF(F778&lt;&gt;"",1+MAX($A$1:A777),"")</f>
        <v/>
      </c>
      <c r="B778" s="2"/>
      <c r="C778" s="244"/>
      <c r="D778" s="145"/>
      <c r="E778" s="146"/>
      <c r="F778" s="147"/>
      <c r="G778" s="148"/>
      <c r="H778" s="27"/>
      <c r="I778" s="28"/>
      <c r="J778" s="135"/>
      <c r="K778" s="136"/>
      <c r="L778" s="137"/>
    </row>
    <row r="779" spans="1:12" s="121" customFormat="1" x14ac:dyDescent="0.2">
      <c r="A779" s="72" t="str">
        <f>IF(F779&lt;&gt;"",1+MAX($A$1:A778),"")</f>
        <v/>
      </c>
      <c r="B779" s="138"/>
      <c r="C779" s="219"/>
      <c r="D779" s="133"/>
      <c r="E779" s="139" t="s">
        <v>128</v>
      </c>
      <c r="F779" s="134"/>
      <c r="G779" s="20"/>
      <c r="H779" s="140"/>
      <c r="I779" s="4"/>
      <c r="J779" s="141"/>
      <c r="K779" s="142"/>
      <c r="L779" s="137"/>
    </row>
    <row r="780" spans="1:12" s="121" customFormat="1" x14ac:dyDescent="0.2">
      <c r="A780" s="72">
        <f>IF(F780&lt;&gt;"",1+MAX($A$1:A779),"")</f>
        <v>413</v>
      </c>
      <c r="B780" s="2" t="s">
        <v>88</v>
      </c>
      <c r="C780" s="200" t="s">
        <v>95</v>
      </c>
      <c r="D780" s="225"/>
      <c r="E780" s="143" t="s">
        <v>104</v>
      </c>
      <c r="F780" s="13">
        <f>277.4*10</f>
        <v>2774</v>
      </c>
      <c r="G780" s="74">
        <v>0.1</v>
      </c>
      <c r="H780" s="27">
        <f>F780*(1+G780)</f>
        <v>3051.4</v>
      </c>
      <c r="I780" s="28" t="s">
        <v>16</v>
      </c>
      <c r="J780" s="135">
        <f>J$512</f>
        <v>0</v>
      </c>
      <c r="K780" s="136">
        <f>J780*H780</f>
        <v>0</v>
      </c>
      <c r="L780" s="137"/>
    </row>
    <row r="781" spans="1:12" s="121" customFormat="1" x14ac:dyDescent="0.2">
      <c r="A781" s="72" t="str">
        <f>IF(F781&lt;&gt;"",1+MAX($A$1:A780),"")</f>
        <v/>
      </c>
      <c r="B781" s="30"/>
      <c r="C781" s="220"/>
      <c r="D781" s="145"/>
      <c r="E781" s="146" t="s">
        <v>22</v>
      </c>
      <c r="F781" s="147"/>
      <c r="G781" s="148"/>
      <c r="H781" s="27">
        <f>ROUNDUP((H780)/32,0)</f>
        <v>96</v>
      </c>
      <c r="I781" s="28" t="s">
        <v>23</v>
      </c>
      <c r="J781" s="135"/>
      <c r="K781" s="136"/>
      <c r="L781" s="137"/>
    </row>
    <row r="782" spans="1:12" s="121" customFormat="1" x14ac:dyDescent="0.2">
      <c r="A782" s="72" t="str">
        <f>IF(F782&lt;&gt;"",1+MAX($A$1:A781),"")</f>
        <v/>
      </c>
      <c r="B782" s="30"/>
      <c r="C782" s="220"/>
      <c r="D782" s="145"/>
      <c r="E782" s="146" t="s">
        <v>24</v>
      </c>
      <c r="F782" s="147"/>
      <c r="G782" s="148"/>
      <c r="H782" s="27">
        <f>ROUNDUP(H781*24/500,0)</f>
        <v>5</v>
      </c>
      <c r="I782" s="28" t="s">
        <v>25</v>
      </c>
      <c r="J782" s="135"/>
      <c r="K782" s="136"/>
      <c r="L782" s="137"/>
    </row>
    <row r="783" spans="1:12" s="121" customFormat="1" x14ac:dyDescent="0.2">
      <c r="A783" s="72" t="str">
        <f>IF(F783&lt;&gt;"",1+MAX($A$1:A782),"")</f>
        <v/>
      </c>
      <c r="B783" s="30"/>
      <c r="C783" s="220"/>
      <c r="D783" s="145"/>
      <c r="E783" s="146" t="s">
        <v>26</v>
      </c>
      <c r="F783" s="147"/>
      <c r="G783" s="148"/>
      <c r="H783" s="149">
        <f>ROUNDUP((H780)/200,0)</f>
        <v>16</v>
      </c>
      <c r="I783" s="28" t="s">
        <v>27</v>
      </c>
      <c r="J783" s="135"/>
      <c r="K783" s="136"/>
      <c r="L783" s="137"/>
    </row>
    <row r="784" spans="1:12" s="121" customFormat="1" x14ac:dyDescent="0.2">
      <c r="A784" s="72" t="str">
        <f>IF(F784&lt;&gt;"",1+MAX($A$1:A783),"")</f>
        <v/>
      </c>
      <c r="B784" s="30"/>
      <c r="C784" s="220"/>
      <c r="D784" s="145"/>
      <c r="E784" s="146" t="s">
        <v>28</v>
      </c>
      <c r="F784" s="147"/>
      <c r="G784" s="148"/>
      <c r="H784" s="149">
        <f>ROUNDUP((H780)*5.25/1000,0)</f>
        <v>17</v>
      </c>
      <c r="I784" s="28" t="s">
        <v>29</v>
      </c>
      <c r="J784" s="135"/>
      <c r="K784" s="136"/>
      <c r="L784" s="137"/>
    </row>
    <row r="785" spans="1:12" s="121" customFormat="1" x14ac:dyDescent="0.2">
      <c r="A785" s="72">
        <f>IF(F785&lt;&gt;"",1+MAX($A$1:A784),"")</f>
        <v>414</v>
      </c>
      <c r="B785" s="2" t="s">
        <v>88</v>
      </c>
      <c r="C785" s="200" t="s">
        <v>95</v>
      </c>
      <c r="D785" s="145"/>
      <c r="E785" s="143" t="s">
        <v>94</v>
      </c>
      <c r="F785" s="13">
        <f>277.4*2</f>
        <v>554.79999999999995</v>
      </c>
      <c r="G785" s="74">
        <v>0.1</v>
      </c>
      <c r="H785" s="27">
        <f t="shared" ref="H785" si="214">F785*(1+G785)</f>
        <v>610.28</v>
      </c>
      <c r="I785" s="28" t="s">
        <v>13</v>
      </c>
      <c r="J785" s="135">
        <f>J$490</f>
        <v>0</v>
      </c>
      <c r="K785" s="136">
        <f t="shared" ref="K785" si="215">J785*H785</f>
        <v>0</v>
      </c>
      <c r="L785" s="137"/>
    </row>
    <row r="786" spans="1:12" s="121" customFormat="1" x14ac:dyDescent="0.2">
      <c r="A786" s="72">
        <f>IF(F786&lt;&gt;"",1+MAX($A$1:A785),"")</f>
        <v>415</v>
      </c>
      <c r="B786" s="2" t="s">
        <v>88</v>
      </c>
      <c r="C786" s="200" t="s">
        <v>95</v>
      </c>
      <c r="D786" s="145"/>
      <c r="E786" s="143" t="s">
        <v>129</v>
      </c>
      <c r="F786" s="13">
        <f>277.4*12</f>
        <v>3328.7999999999997</v>
      </c>
      <c r="G786" s="74">
        <v>0.1</v>
      </c>
      <c r="H786" s="27">
        <f t="shared" ref="H786" si="216">F786*(1+G786)</f>
        <v>3661.68</v>
      </c>
      <c r="I786" s="28" t="s">
        <v>16</v>
      </c>
      <c r="J786" s="135">
        <f>J$652</f>
        <v>0</v>
      </c>
      <c r="K786" s="136">
        <f t="shared" ref="K786" si="217">J786*H786</f>
        <v>0</v>
      </c>
      <c r="L786" s="137"/>
    </row>
    <row r="787" spans="1:12" s="121" customFormat="1" ht="16.5" thickBot="1" x14ac:dyDescent="0.25">
      <c r="A787" s="72" t="str">
        <f>IF(F787&lt;&gt;"",1+MAX($A$1:A786),"")</f>
        <v/>
      </c>
      <c r="B787" s="30"/>
      <c r="C787" s="220"/>
      <c r="D787" s="145"/>
      <c r="E787" s="146"/>
      <c r="F787" s="147"/>
      <c r="G787" s="148"/>
      <c r="H787" s="27"/>
      <c r="I787" s="28"/>
      <c r="J787" s="135"/>
      <c r="K787" s="136"/>
      <c r="L787" s="137"/>
    </row>
    <row r="788" spans="1:12" s="121" customFormat="1" ht="16.5" thickBot="1" x14ac:dyDescent="0.25">
      <c r="A788" s="72" t="str">
        <f>IF(F788&lt;&gt;"",1+MAX($A$1:A787),"")</f>
        <v/>
      </c>
      <c r="B788" s="2"/>
      <c r="C788" s="244"/>
      <c r="D788" s="247"/>
      <c r="E788" s="249" t="s">
        <v>79</v>
      </c>
      <c r="F788" s="248"/>
      <c r="G788" s="20"/>
      <c r="H788" s="140"/>
      <c r="I788" s="4"/>
      <c r="J788" s="141"/>
      <c r="K788" s="142"/>
      <c r="L788" s="137"/>
    </row>
    <row r="789" spans="1:12" s="121" customFormat="1" x14ac:dyDescent="0.2">
      <c r="A789" s="72" t="str">
        <f>IF(F789&lt;&gt;"",1+MAX($A$1:A788),"")</f>
        <v/>
      </c>
      <c r="B789" s="138"/>
      <c r="C789" s="219"/>
      <c r="D789" s="133"/>
      <c r="E789" s="139" t="s">
        <v>128</v>
      </c>
      <c r="F789" s="134"/>
      <c r="G789" s="20"/>
      <c r="H789" s="140"/>
      <c r="I789" s="4"/>
      <c r="J789" s="141"/>
      <c r="K789" s="142"/>
      <c r="L789" s="137"/>
    </row>
    <row r="790" spans="1:12" s="121" customFormat="1" x14ac:dyDescent="0.2">
      <c r="A790" s="72">
        <f>IF(F790&lt;&gt;"",1+MAX($A$1:A789),"")</f>
        <v>416</v>
      </c>
      <c r="B790" s="2" t="s">
        <v>88</v>
      </c>
      <c r="C790" s="200" t="s">
        <v>95</v>
      </c>
      <c r="D790" s="225"/>
      <c r="E790" s="143" t="s">
        <v>104</v>
      </c>
      <c r="F790" s="13">
        <f>60.1*9.25</f>
        <v>555.92500000000007</v>
      </c>
      <c r="G790" s="74">
        <v>0.1</v>
      </c>
      <c r="H790" s="27">
        <f>F790*(1+G790)</f>
        <v>611.51750000000015</v>
      </c>
      <c r="I790" s="28" t="s">
        <v>16</v>
      </c>
      <c r="J790" s="135">
        <f>J$512</f>
        <v>0</v>
      </c>
      <c r="K790" s="136">
        <f>J790*H790</f>
        <v>0</v>
      </c>
      <c r="L790" s="137"/>
    </row>
    <row r="791" spans="1:12" s="121" customFormat="1" x14ac:dyDescent="0.2">
      <c r="A791" s="72" t="str">
        <f>IF(F791&lt;&gt;"",1+MAX($A$1:A790),"")</f>
        <v/>
      </c>
      <c r="B791" s="30"/>
      <c r="C791" s="220"/>
      <c r="D791" s="145"/>
      <c r="E791" s="146" t="s">
        <v>22</v>
      </c>
      <c r="F791" s="147"/>
      <c r="G791" s="148"/>
      <c r="H791" s="27">
        <f>ROUNDUP((H790)/32,0)</f>
        <v>20</v>
      </c>
      <c r="I791" s="28" t="s">
        <v>23</v>
      </c>
      <c r="J791" s="135"/>
      <c r="K791" s="136"/>
      <c r="L791" s="137"/>
    </row>
    <row r="792" spans="1:12" s="121" customFormat="1" x14ac:dyDescent="0.2">
      <c r="A792" s="72" t="str">
        <f>IF(F792&lt;&gt;"",1+MAX($A$1:A791),"")</f>
        <v/>
      </c>
      <c r="B792" s="30"/>
      <c r="C792" s="220"/>
      <c r="D792" s="145"/>
      <c r="E792" s="146" t="s">
        <v>24</v>
      </c>
      <c r="F792" s="147"/>
      <c r="G792" s="148"/>
      <c r="H792" s="27">
        <f>ROUNDUP(H791*24/500,0)</f>
        <v>1</v>
      </c>
      <c r="I792" s="28" t="s">
        <v>25</v>
      </c>
      <c r="J792" s="135"/>
      <c r="K792" s="136"/>
      <c r="L792" s="137"/>
    </row>
    <row r="793" spans="1:12" s="121" customFormat="1" x14ac:dyDescent="0.2">
      <c r="A793" s="72" t="str">
        <f>IF(F793&lt;&gt;"",1+MAX($A$1:A792),"")</f>
        <v/>
      </c>
      <c r="B793" s="30"/>
      <c r="C793" s="220"/>
      <c r="D793" s="145"/>
      <c r="E793" s="146" t="s">
        <v>26</v>
      </c>
      <c r="F793" s="147"/>
      <c r="G793" s="148"/>
      <c r="H793" s="149">
        <f>ROUNDUP((H790)/200,0)</f>
        <v>4</v>
      </c>
      <c r="I793" s="28" t="s">
        <v>27</v>
      </c>
      <c r="J793" s="135"/>
      <c r="K793" s="136"/>
      <c r="L793" s="137"/>
    </row>
    <row r="794" spans="1:12" s="121" customFormat="1" x14ac:dyDescent="0.2">
      <c r="A794" s="72" t="str">
        <f>IF(F794&lt;&gt;"",1+MAX($A$1:A793),"")</f>
        <v/>
      </c>
      <c r="B794" s="30"/>
      <c r="C794" s="220"/>
      <c r="D794" s="145"/>
      <c r="E794" s="146" t="s">
        <v>28</v>
      </c>
      <c r="F794" s="147"/>
      <c r="G794" s="148"/>
      <c r="H794" s="149">
        <f>ROUNDUP((H790)*5.25/1000,0)</f>
        <v>4</v>
      </c>
      <c r="I794" s="28" t="s">
        <v>29</v>
      </c>
      <c r="J794" s="135"/>
      <c r="K794" s="136"/>
      <c r="L794" s="137"/>
    </row>
    <row r="795" spans="1:12" s="121" customFormat="1" x14ac:dyDescent="0.2">
      <c r="A795" s="72">
        <f>IF(F795&lt;&gt;"",1+MAX($A$1:A794),"")</f>
        <v>417</v>
      </c>
      <c r="B795" s="2" t="s">
        <v>88</v>
      </c>
      <c r="C795" s="200" t="s">
        <v>95</v>
      </c>
      <c r="D795" s="145"/>
      <c r="E795" s="143" t="s">
        <v>94</v>
      </c>
      <c r="F795" s="13">
        <f>60.1*2</f>
        <v>120.2</v>
      </c>
      <c r="G795" s="74">
        <v>0.1</v>
      </c>
      <c r="H795" s="27">
        <f t="shared" ref="H795:H796" si="218">F795*(1+G795)</f>
        <v>132.22000000000003</v>
      </c>
      <c r="I795" s="28" t="s">
        <v>13</v>
      </c>
      <c r="J795" s="135">
        <f>J$490</f>
        <v>0</v>
      </c>
      <c r="K795" s="136">
        <f t="shared" ref="K795:K796" si="219">J795*H795</f>
        <v>0</v>
      </c>
      <c r="L795" s="137"/>
    </row>
    <row r="796" spans="1:12" s="121" customFormat="1" x14ac:dyDescent="0.2">
      <c r="A796" s="72">
        <f>IF(F796&lt;&gt;"",1+MAX($A$1:A795),"")</f>
        <v>418</v>
      </c>
      <c r="B796" s="2" t="s">
        <v>88</v>
      </c>
      <c r="C796" s="200" t="s">
        <v>95</v>
      </c>
      <c r="D796" s="145"/>
      <c r="E796" s="143" t="s">
        <v>129</v>
      </c>
      <c r="F796" s="13">
        <f t="shared" ref="F796" si="220">60.1*9.25</f>
        <v>555.92500000000007</v>
      </c>
      <c r="G796" s="74">
        <v>0.1</v>
      </c>
      <c r="H796" s="27">
        <f t="shared" si="218"/>
        <v>611.51750000000015</v>
      </c>
      <c r="I796" s="28" t="s">
        <v>16</v>
      </c>
      <c r="J796" s="135">
        <f>J$652</f>
        <v>0</v>
      </c>
      <c r="K796" s="136">
        <f t="shared" si="219"/>
        <v>0</v>
      </c>
      <c r="L796" s="137"/>
    </row>
    <row r="797" spans="1:12" s="1" customFormat="1" ht="16.5" thickBot="1" x14ac:dyDescent="0.25">
      <c r="A797" s="72" t="str">
        <f>IF(F797&lt;&gt;"",1+MAX($A$1:A796),"")</f>
        <v/>
      </c>
      <c r="B797" s="30"/>
      <c r="C797" s="200"/>
      <c r="D797" s="29"/>
      <c r="E797" s="175"/>
      <c r="F797" s="31"/>
      <c r="G797" s="32"/>
      <c r="H797" s="31"/>
      <c r="I797" s="33"/>
      <c r="J797" s="45"/>
      <c r="K797" s="41"/>
      <c r="L797" s="36"/>
    </row>
    <row r="798" spans="1:12" s="1" customFormat="1" ht="16.5" thickBot="1" x14ac:dyDescent="0.25">
      <c r="A798" s="72" t="str">
        <f>IF(F798&lt;&gt;"",1+MAX($A$1:A797),"")</f>
        <v/>
      </c>
      <c r="B798" s="2"/>
      <c r="C798" s="200"/>
      <c r="D798" s="29"/>
      <c r="E798" s="35" t="s">
        <v>31</v>
      </c>
      <c r="F798" s="189"/>
      <c r="G798" s="20"/>
      <c r="H798" s="3"/>
      <c r="I798" s="21"/>
      <c r="J798" s="188"/>
      <c r="K798" s="42"/>
      <c r="L798" s="37">
        <f>SUM(K482:K797)</f>
        <v>0</v>
      </c>
    </row>
    <row r="799" spans="1:12" s="85" customFormat="1" ht="19.5" thickBot="1" x14ac:dyDescent="0.25">
      <c r="A799" s="72" t="str">
        <f>IF(F799&lt;&gt;"",1+MAX($A$1:A798),"")</f>
        <v/>
      </c>
      <c r="B799" s="73"/>
      <c r="C799" s="221"/>
      <c r="D799" s="86"/>
      <c r="E799" s="80"/>
      <c r="F799" s="81"/>
      <c r="G799" s="74"/>
      <c r="H799" s="82"/>
      <c r="I799" s="83"/>
      <c r="J799" s="79"/>
      <c r="K799" s="84"/>
      <c r="L799" s="78"/>
    </row>
    <row r="800" spans="1:12" s="1" customFormat="1" ht="16.5" thickBot="1" x14ac:dyDescent="0.25">
      <c r="A800" s="72" t="str">
        <f>IF(F800&lt;&gt;"",1+MAX($A$1:A799),"")</f>
        <v/>
      </c>
      <c r="B800" s="26"/>
      <c r="C800" s="218"/>
      <c r="D800" s="150"/>
      <c r="E800" s="151" t="s">
        <v>32</v>
      </c>
      <c r="F800" s="152"/>
      <c r="G800" s="153"/>
      <c r="H800" s="154"/>
      <c r="I800" s="155"/>
      <c r="J800" s="50"/>
      <c r="K800" s="156"/>
      <c r="L800" s="17"/>
    </row>
    <row r="801" spans="1:12" s="85" customFormat="1" ht="63" x14ac:dyDescent="0.2">
      <c r="A801" s="72">
        <f>IF(F801&lt;&gt;"",1+MAX($A$1:A800),"")</f>
        <v>419</v>
      </c>
      <c r="B801" s="2" t="s">
        <v>132</v>
      </c>
      <c r="C801" s="221" t="s">
        <v>131</v>
      </c>
      <c r="D801" s="86"/>
      <c r="E801" s="80" t="s">
        <v>130</v>
      </c>
      <c r="F801" s="81">
        <f>7262</f>
        <v>7262</v>
      </c>
      <c r="G801" s="74">
        <v>0.1</v>
      </c>
      <c r="H801" s="75">
        <f>F801*(1+G801)</f>
        <v>7988.2000000000007</v>
      </c>
      <c r="I801" s="76" t="s">
        <v>16</v>
      </c>
      <c r="J801" s="144">
        <v>0</v>
      </c>
      <c r="K801" s="77">
        <f>J801*H801</f>
        <v>0</v>
      </c>
      <c r="L801" s="78"/>
    </row>
    <row r="802" spans="1:12" s="85" customFormat="1" ht="47.25" x14ac:dyDescent="0.2">
      <c r="A802" s="72">
        <f>IF(F802&lt;&gt;"",1+MAX($A$1:A801),"")</f>
        <v>420</v>
      </c>
      <c r="B802" s="2" t="s">
        <v>132</v>
      </c>
      <c r="C802" s="221" t="s">
        <v>131</v>
      </c>
      <c r="D802" s="86"/>
      <c r="E802" s="80" t="s">
        <v>152</v>
      </c>
      <c r="F802" s="81">
        <v>3459</v>
      </c>
      <c r="G802" s="74">
        <v>0.1</v>
      </c>
      <c r="H802" s="75">
        <f>F802*(1+G802)</f>
        <v>3804.9</v>
      </c>
      <c r="I802" s="76" t="s">
        <v>16</v>
      </c>
      <c r="J802" s="144">
        <v>0</v>
      </c>
      <c r="K802" s="77">
        <f>J802*H802</f>
        <v>0</v>
      </c>
      <c r="L802" s="78"/>
    </row>
    <row r="803" spans="1:12" s="85" customFormat="1" ht="31.5" x14ac:dyDescent="0.2">
      <c r="A803" s="72">
        <f>IF(F803&lt;&gt;"",1+MAX($A$1:A802),"")</f>
        <v>421</v>
      </c>
      <c r="B803" s="2" t="s">
        <v>132</v>
      </c>
      <c r="C803" s="221" t="s">
        <v>162</v>
      </c>
      <c r="D803" s="86"/>
      <c r="E803" s="80" t="s">
        <v>165</v>
      </c>
      <c r="F803" s="81">
        <f>222+28.2*8.67+48.3*3.83</f>
        <v>651.48300000000006</v>
      </c>
      <c r="G803" s="74">
        <v>0.1</v>
      </c>
      <c r="H803" s="75">
        <f>F803*(1+G803)</f>
        <v>716.63130000000012</v>
      </c>
      <c r="I803" s="76" t="s">
        <v>16</v>
      </c>
      <c r="J803" s="144">
        <v>0</v>
      </c>
      <c r="K803" s="77">
        <f>J803*H803</f>
        <v>0</v>
      </c>
      <c r="L803" s="78"/>
    </row>
    <row r="804" spans="1:12" s="85" customFormat="1" ht="31.5" x14ac:dyDescent="0.2">
      <c r="A804" s="72">
        <f>IF(F804&lt;&gt;"",1+MAX($A$1:A803),"")</f>
        <v>422</v>
      </c>
      <c r="B804" s="2" t="s">
        <v>132</v>
      </c>
      <c r="C804" s="221" t="s">
        <v>162</v>
      </c>
      <c r="D804" s="86"/>
      <c r="E804" s="80" t="s">
        <v>164</v>
      </c>
      <c r="F804" s="81">
        <f>10.4*3.83</f>
        <v>39.832000000000001</v>
      </c>
      <c r="G804" s="74">
        <v>0.1</v>
      </c>
      <c r="H804" s="75">
        <f>F804*(1+G804)</f>
        <v>43.815200000000004</v>
      </c>
      <c r="I804" s="76" t="s">
        <v>16</v>
      </c>
      <c r="J804" s="144">
        <v>0</v>
      </c>
      <c r="K804" s="77">
        <f>J804*H804</f>
        <v>0</v>
      </c>
      <c r="L804" s="78"/>
    </row>
    <row r="805" spans="1:12" s="1" customFormat="1" ht="16.5" thickBot="1" x14ac:dyDescent="0.25">
      <c r="A805" s="72" t="str">
        <f>IF(F805&lt;&gt;"",1+MAX($A$1:A804),"")</f>
        <v/>
      </c>
      <c r="B805" s="30"/>
      <c r="C805" s="200"/>
      <c r="D805" s="29"/>
      <c r="F805" s="31"/>
      <c r="G805" s="32"/>
      <c r="H805" s="31"/>
      <c r="I805" s="33"/>
      <c r="J805" s="45"/>
      <c r="K805" s="41"/>
      <c r="L805" s="36"/>
    </row>
    <row r="806" spans="1:12" s="1" customFormat="1" ht="16.5" thickBot="1" x14ac:dyDescent="0.25">
      <c r="A806" s="72" t="str">
        <f>IF(F806&lt;&gt;"",1+MAX($A$1:A805),"")</f>
        <v/>
      </c>
      <c r="B806" s="2"/>
      <c r="C806" s="200"/>
      <c r="D806" s="29"/>
      <c r="E806" s="35" t="s">
        <v>33</v>
      </c>
      <c r="F806" s="189"/>
      <c r="G806" s="20"/>
      <c r="H806" s="3"/>
      <c r="I806" s="21"/>
      <c r="J806" s="188"/>
      <c r="K806" s="42"/>
      <c r="L806" s="37">
        <f>SUM(K800:K805)</f>
        <v>0</v>
      </c>
    </row>
    <row r="807" spans="1:12" s="85" customFormat="1" ht="19.5" thickBot="1" x14ac:dyDescent="0.25">
      <c r="A807" s="72" t="str">
        <f>IF(F807&lt;&gt;"",1+MAX($A$1:A806),"")</f>
        <v/>
      </c>
      <c r="B807" s="73"/>
      <c r="C807" s="221"/>
      <c r="D807" s="86"/>
      <c r="E807" s="80"/>
      <c r="F807" s="81"/>
      <c r="G807" s="74"/>
      <c r="H807" s="82"/>
      <c r="I807" s="83"/>
      <c r="J807" s="79"/>
      <c r="K807" s="84"/>
      <c r="L807" s="78"/>
    </row>
    <row r="808" spans="1:12" s="1" customFormat="1" ht="16.5" thickBot="1" x14ac:dyDescent="0.25">
      <c r="A808" s="72" t="str">
        <f>IF(F808&lt;&gt;"",1+MAX($A$1:A807),"")</f>
        <v/>
      </c>
      <c r="B808" s="26"/>
      <c r="C808" s="218"/>
      <c r="D808" s="150"/>
      <c r="E808" s="151" t="s">
        <v>72</v>
      </c>
      <c r="F808" s="152"/>
      <c r="G808" s="153"/>
      <c r="H808" s="154"/>
      <c r="I808" s="155"/>
      <c r="J808" s="50"/>
      <c r="K808" s="156"/>
      <c r="L808" s="17"/>
    </row>
    <row r="809" spans="1:12" s="85" customFormat="1" ht="18.75" x14ac:dyDescent="0.2">
      <c r="A809" s="72">
        <f>IF(F809&lt;&gt;"",1+MAX($A$1:A808),"")</f>
        <v>423</v>
      </c>
      <c r="B809" s="2" t="s">
        <v>132</v>
      </c>
      <c r="C809" s="221"/>
      <c r="D809" s="86"/>
      <c r="E809" s="80" t="s">
        <v>133</v>
      </c>
      <c r="F809" s="81">
        <v>72</v>
      </c>
      <c r="G809" s="74">
        <v>0.1</v>
      </c>
      <c r="H809" s="75">
        <f>F809*(1+G809)</f>
        <v>79.2</v>
      </c>
      <c r="I809" s="76" t="s">
        <v>16</v>
      </c>
      <c r="J809" s="215">
        <v>0</v>
      </c>
      <c r="K809" s="77">
        <f>J809*H809</f>
        <v>0</v>
      </c>
      <c r="L809" s="78"/>
    </row>
    <row r="810" spans="1:12" s="1" customFormat="1" ht="16.5" thickBot="1" x14ac:dyDescent="0.25">
      <c r="A810" s="72" t="str">
        <f>IF(F810&lt;&gt;"",1+MAX($A$1:A809),"")</f>
        <v/>
      </c>
      <c r="B810" s="30"/>
      <c r="C810" s="200"/>
      <c r="D810" s="29"/>
      <c r="F810" s="31"/>
      <c r="G810" s="32"/>
      <c r="H810" s="31"/>
      <c r="I810" s="33"/>
      <c r="J810" s="45"/>
      <c r="K810" s="41"/>
      <c r="L810" s="36"/>
    </row>
    <row r="811" spans="1:12" s="1" customFormat="1" ht="16.5" thickBot="1" x14ac:dyDescent="0.25">
      <c r="A811" s="72" t="str">
        <f>IF(F811&lt;&gt;"",1+MAX($A$1:A810),"")</f>
        <v/>
      </c>
      <c r="B811" s="2"/>
      <c r="C811" s="200"/>
      <c r="D811" s="29"/>
      <c r="E811" s="35" t="s">
        <v>73</v>
      </c>
      <c r="F811" s="189"/>
      <c r="G811" s="20"/>
      <c r="H811" s="3"/>
      <c r="I811" s="21"/>
      <c r="J811" s="188"/>
      <c r="K811" s="42"/>
      <c r="L811" s="37">
        <f>SUM(K808:K810)</f>
        <v>0</v>
      </c>
    </row>
    <row r="812" spans="1:12" s="85" customFormat="1" ht="19.5" thickBot="1" x14ac:dyDescent="0.25">
      <c r="A812" s="72" t="str">
        <f>IF(F812&lt;&gt;"",1+MAX($A$1:A811),"")</f>
        <v/>
      </c>
      <c r="B812" s="73"/>
      <c r="C812" s="221"/>
      <c r="D812" s="86"/>
      <c r="E812" s="80"/>
      <c r="F812" s="81"/>
      <c r="G812" s="74"/>
      <c r="H812" s="82"/>
      <c r="I812" s="83"/>
      <c r="J812" s="79"/>
      <c r="K812" s="84"/>
      <c r="L812" s="78"/>
    </row>
    <row r="813" spans="1:12" s="1" customFormat="1" ht="16.5" thickBot="1" x14ac:dyDescent="0.25">
      <c r="A813" s="72" t="str">
        <f>IF(F813&lt;&gt;"",1+MAX($A$1:A812),"")</f>
        <v/>
      </c>
      <c r="B813" s="26"/>
      <c r="C813" s="265"/>
      <c r="D813" s="150"/>
      <c r="E813" s="151" t="s">
        <v>409</v>
      </c>
      <c r="F813" s="152"/>
      <c r="G813" s="153"/>
      <c r="H813" s="154"/>
      <c r="I813" s="155"/>
      <c r="J813" s="240"/>
      <c r="K813" s="156"/>
      <c r="L813" s="17"/>
    </row>
    <row r="814" spans="1:12" s="268" customFormat="1" ht="94.5" x14ac:dyDescent="0.2">
      <c r="A814" s="72">
        <f>IF(F814&lt;&gt;"",1+MAX($A$1:A813),"")</f>
        <v>424</v>
      </c>
      <c r="B814" s="2" t="s">
        <v>410</v>
      </c>
      <c r="C814" s="266" t="s">
        <v>411</v>
      </c>
      <c r="D814" s="267"/>
      <c r="E814" s="228" t="s">
        <v>663</v>
      </c>
      <c r="F814" s="264">
        <v>852</v>
      </c>
      <c r="G814" s="74">
        <v>0.1</v>
      </c>
      <c r="H814" s="75">
        <f t="shared" ref="H814:H817" si="221">F814*(1+G814)</f>
        <v>937.2</v>
      </c>
      <c r="I814" s="76" t="s">
        <v>16</v>
      </c>
      <c r="J814" s="215">
        <v>0</v>
      </c>
      <c r="K814" s="77">
        <f t="shared" ref="K814:K817" si="222">J814*H814</f>
        <v>0</v>
      </c>
      <c r="L814" s="78"/>
    </row>
    <row r="815" spans="1:12" s="268" customFormat="1" ht="78.75" x14ac:dyDescent="0.2">
      <c r="A815" s="72">
        <f>IF(F815&lt;&gt;"",1+MAX($A$1:A814),"")</f>
        <v>425</v>
      </c>
      <c r="B815" s="2" t="s">
        <v>410</v>
      </c>
      <c r="C815" s="266" t="s">
        <v>411</v>
      </c>
      <c r="D815" s="267"/>
      <c r="E815" s="228" t="s">
        <v>664</v>
      </c>
      <c r="F815" s="264">
        <v>289</v>
      </c>
      <c r="G815" s="74">
        <v>0.1</v>
      </c>
      <c r="H815" s="75">
        <f t="shared" si="221"/>
        <v>317.90000000000003</v>
      </c>
      <c r="I815" s="76" t="s">
        <v>16</v>
      </c>
      <c r="J815" s="215">
        <v>0</v>
      </c>
      <c r="K815" s="77">
        <f t="shared" si="222"/>
        <v>0</v>
      </c>
      <c r="L815" s="78"/>
    </row>
    <row r="816" spans="1:12" s="268" customFormat="1" ht="94.5" x14ac:dyDescent="0.2">
      <c r="A816" s="72">
        <f>IF(F816&lt;&gt;"",1+MAX($A$1:A815),"")</f>
        <v>426</v>
      </c>
      <c r="B816" s="2" t="s">
        <v>410</v>
      </c>
      <c r="C816" s="266" t="s">
        <v>411</v>
      </c>
      <c r="D816" s="267"/>
      <c r="E816" s="228" t="s">
        <v>665</v>
      </c>
      <c r="F816" s="264">
        <f>79*4+123*10</f>
        <v>1546</v>
      </c>
      <c r="G816" s="74">
        <v>0.1</v>
      </c>
      <c r="H816" s="75">
        <f t="shared" si="221"/>
        <v>1700.6000000000001</v>
      </c>
      <c r="I816" s="76" t="s">
        <v>16</v>
      </c>
      <c r="J816" s="215">
        <v>0</v>
      </c>
      <c r="K816" s="77">
        <f t="shared" si="222"/>
        <v>0</v>
      </c>
      <c r="L816" s="78"/>
    </row>
    <row r="817" spans="1:12" s="268" customFormat="1" ht="47.25" x14ac:dyDescent="0.2">
      <c r="A817" s="72">
        <f>IF(F817&lt;&gt;"",1+MAX($A$1:A816),"")</f>
        <v>427</v>
      </c>
      <c r="B817" s="2" t="s">
        <v>410</v>
      </c>
      <c r="C817" s="266" t="s">
        <v>411</v>
      </c>
      <c r="D817" s="267"/>
      <c r="E817" s="228" t="s">
        <v>666</v>
      </c>
      <c r="F817" s="264">
        <f>104*1.67</f>
        <v>173.68</v>
      </c>
      <c r="G817" s="74">
        <v>0.1</v>
      </c>
      <c r="H817" s="75">
        <f t="shared" si="221"/>
        <v>191.04800000000003</v>
      </c>
      <c r="I817" s="76" t="s">
        <v>16</v>
      </c>
      <c r="J817" s="215">
        <v>0</v>
      </c>
      <c r="K817" s="77">
        <f t="shared" si="222"/>
        <v>0</v>
      </c>
      <c r="L817" s="78"/>
    </row>
    <row r="818" spans="1:12" s="268" customFormat="1" ht="94.5" x14ac:dyDescent="0.2">
      <c r="A818" s="72">
        <f>IF(F818&lt;&gt;"",1+MAX($A$1:A817),"")</f>
        <v>428</v>
      </c>
      <c r="B818" s="2" t="s">
        <v>410</v>
      </c>
      <c r="C818" s="266" t="s">
        <v>411</v>
      </c>
      <c r="D818" s="267"/>
      <c r="E818" s="228" t="s">
        <v>667</v>
      </c>
      <c r="F818" s="264">
        <v>450</v>
      </c>
      <c r="G818" s="74">
        <v>0.1</v>
      </c>
      <c r="H818" s="75">
        <f>F818*(1+G818)</f>
        <v>495.00000000000006</v>
      </c>
      <c r="I818" s="76" t="s">
        <v>13</v>
      </c>
      <c r="J818" s="144">
        <v>0</v>
      </c>
      <c r="K818" s="77">
        <f>J818*H818</f>
        <v>0</v>
      </c>
      <c r="L818" s="78"/>
    </row>
    <row r="819" spans="1:12" s="1" customFormat="1" ht="16.5" thickBot="1" x14ac:dyDescent="0.25">
      <c r="A819" s="72" t="str">
        <f>IF(F819&lt;&gt;"",1+MAX($A$1:A818),"")</f>
        <v/>
      </c>
      <c r="B819" s="30"/>
      <c r="C819" s="2"/>
      <c r="D819" s="29"/>
      <c r="F819" s="31"/>
      <c r="G819" s="32"/>
      <c r="H819" s="31"/>
      <c r="I819" s="33"/>
      <c r="J819" s="45"/>
      <c r="K819" s="41"/>
      <c r="L819" s="36"/>
    </row>
    <row r="820" spans="1:12" s="1" customFormat="1" ht="16.5" thickBot="1" x14ac:dyDescent="0.25">
      <c r="A820" s="72" t="str">
        <f>IF(F820&lt;&gt;"",1+MAX($A$1:A819),"")</f>
        <v/>
      </c>
      <c r="B820" s="2"/>
      <c r="C820" s="2"/>
      <c r="D820" s="29"/>
      <c r="E820" s="35" t="s">
        <v>412</v>
      </c>
      <c r="F820" s="25"/>
      <c r="G820" s="20"/>
      <c r="H820" s="3"/>
      <c r="I820" s="21"/>
      <c r="J820" s="269"/>
      <c r="K820" s="42"/>
      <c r="L820" s="37">
        <f>SUM(K813:K819)</f>
        <v>0</v>
      </c>
    </row>
    <row r="821" spans="1:12" s="85" customFormat="1" ht="19.5" thickBot="1" x14ac:dyDescent="0.25">
      <c r="A821" s="72" t="str">
        <f>IF(F821&lt;&gt;"",1+MAX($A$1:A820),"")</f>
        <v/>
      </c>
      <c r="B821" s="73"/>
      <c r="C821" s="266"/>
      <c r="D821" s="86"/>
      <c r="E821" s="80"/>
      <c r="F821" s="81"/>
      <c r="G821" s="74"/>
      <c r="H821" s="82"/>
      <c r="I821" s="83"/>
      <c r="J821" s="79"/>
      <c r="K821" s="84"/>
      <c r="L821" s="78"/>
    </row>
    <row r="822" spans="1:12" s="1" customFormat="1" ht="16.5" thickBot="1" x14ac:dyDescent="0.25">
      <c r="A822" s="72" t="str">
        <f>IF(F822&lt;&gt;"",1+MAX($A$1:A821),"")</f>
        <v/>
      </c>
      <c r="B822" s="26"/>
      <c r="C822" s="265"/>
      <c r="D822" s="150"/>
      <c r="E822" s="151" t="s">
        <v>440</v>
      </c>
      <c r="F822" s="152"/>
      <c r="G822" s="153"/>
      <c r="H822" s="154"/>
      <c r="I822" s="155"/>
      <c r="J822" s="240"/>
      <c r="K822" s="156"/>
      <c r="L822" s="17"/>
    </row>
    <row r="823" spans="1:12" s="268" customFormat="1" ht="94.5" x14ac:dyDescent="0.2">
      <c r="A823" s="72">
        <f>IF(F823&lt;&gt;"",1+MAX($A$1:A822),"")</f>
        <v>429</v>
      </c>
      <c r="B823" s="2" t="s">
        <v>410</v>
      </c>
      <c r="C823" s="266" t="s">
        <v>411</v>
      </c>
      <c r="D823" s="267"/>
      <c r="E823" s="228" t="s">
        <v>662</v>
      </c>
      <c r="F823" s="264">
        <v>5748</v>
      </c>
      <c r="G823" s="74">
        <v>0.1</v>
      </c>
      <c r="H823" s="75">
        <f t="shared" ref="H823" si="223">F823*(1+G823)</f>
        <v>6322.8</v>
      </c>
      <c r="I823" s="76" t="s">
        <v>16</v>
      </c>
      <c r="J823" s="144">
        <v>0</v>
      </c>
      <c r="K823" s="77">
        <f t="shared" ref="K823" si="224">J823*H823</f>
        <v>0</v>
      </c>
      <c r="L823" s="78"/>
    </row>
    <row r="824" spans="1:12" s="1" customFormat="1" ht="16.5" thickBot="1" x14ac:dyDescent="0.25">
      <c r="A824" s="72" t="str">
        <f>IF(F824&lt;&gt;"",1+MAX($A$1:A823),"")</f>
        <v/>
      </c>
      <c r="B824" s="30"/>
      <c r="C824" s="2"/>
      <c r="D824" s="29"/>
      <c r="F824" s="31"/>
      <c r="G824" s="32"/>
      <c r="H824" s="31"/>
      <c r="I824" s="33"/>
      <c r="J824" s="45"/>
      <c r="K824" s="41"/>
      <c r="L824" s="36"/>
    </row>
    <row r="825" spans="1:12" s="1" customFormat="1" ht="16.5" thickBot="1" x14ac:dyDescent="0.25">
      <c r="A825" s="72" t="str">
        <f>IF(F825&lt;&gt;"",1+MAX($A$1:A824),"")</f>
        <v/>
      </c>
      <c r="B825" s="2"/>
      <c r="C825" s="2"/>
      <c r="D825" s="29"/>
      <c r="E825" s="35" t="s">
        <v>441</v>
      </c>
      <c r="F825" s="25"/>
      <c r="G825" s="20"/>
      <c r="H825" s="3"/>
      <c r="I825" s="21"/>
      <c r="J825" s="269"/>
      <c r="K825" s="42"/>
      <c r="L825" s="37">
        <f>SUM(K822:K824)</f>
        <v>0</v>
      </c>
    </row>
    <row r="826" spans="1:12" s="85" customFormat="1" ht="19.5" thickBot="1" x14ac:dyDescent="0.25">
      <c r="A826" s="72" t="str">
        <f>IF(F826&lt;&gt;"",1+MAX($A$1:A825),"")</f>
        <v/>
      </c>
      <c r="B826" s="73"/>
      <c r="C826" s="266"/>
      <c r="D826" s="86"/>
      <c r="E826" s="80"/>
      <c r="F826" s="81"/>
      <c r="G826" s="74"/>
      <c r="H826" s="82"/>
      <c r="I826" s="83"/>
      <c r="J826" s="79"/>
      <c r="K826" s="84"/>
      <c r="L826" s="78"/>
    </row>
    <row r="827" spans="1:12" s="1" customFormat="1" ht="16.5" thickBot="1" x14ac:dyDescent="0.25">
      <c r="A827" s="72" t="str">
        <f>IF(F827&lt;&gt;"",1+MAX($A$1:A826),"")</f>
        <v/>
      </c>
      <c r="B827" s="26"/>
      <c r="C827" s="265"/>
      <c r="D827" s="150"/>
      <c r="E827" s="151" t="s">
        <v>442</v>
      </c>
      <c r="F827" s="152"/>
      <c r="G827" s="153"/>
      <c r="H827" s="154"/>
      <c r="I827" s="155"/>
      <c r="J827" s="240"/>
      <c r="K827" s="156"/>
      <c r="L827" s="17"/>
    </row>
    <row r="828" spans="1:12" s="268" customFormat="1" ht="94.5" x14ac:dyDescent="0.2">
      <c r="A828" s="72">
        <f>IF(F828&lt;&gt;"",1+MAX($A$1:A827),"")</f>
        <v>430</v>
      </c>
      <c r="B828" s="2" t="s">
        <v>410</v>
      </c>
      <c r="C828" s="266" t="s">
        <v>411</v>
      </c>
      <c r="D828" s="267"/>
      <c r="E828" s="228" t="s">
        <v>678</v>
      </c>
      <c r="F828" s="264">
        <v>443</v>
      </c>
      <c r="G828" s="74">
        <v>0.1</v>
      </c>
      <c r="H828" s="75">
        <f t="shared" ref="H828" si="225">F828*(1+G828)</f>
        <v>487.3</v>
      </c>
      <c r="I828" s="76" t="s">
        <v>16</v>
      </c>
      <c r="J828" s="144">
        <v>0</v>
      </c>
      <c r="K828" s="77">
        <f t="shared" ref="K828" si="226">J828*H828</f>
        <v>0</v>
      </c>
      <c r="L828" s="78"/>
    </row>
    <row r="829" spans="1:12" s="1" customFormat="1" ht="16.5" thickBot="1" x14ac:dyDescent="0.25">
      <c r="A829" s="72" t="str">
        <f>IF(F829&lt;&gt;"",1+MAX($A$1:A828),"")</f>
        <v/>
      </c>
      <c r="B829" s="30"/>
      <c r="C829" s="2"/>
      <c r="D829" s="29"/>
      <c r="F829" s="31"/>
      <c r="G829" s="32"/>
      <c r="H829" s="31"/>
      <c r="I829" s="33"/>
      <c r="J829" s="45"/>
      <c r="K829" s="41"/>
      <c r="L829" s="36"/>
    </row>
    <row r="830" spans="1:12" s="1" customFormat="1" ht="16.5" thickBot="1" x14ac:dyDescent="0.25">
      <c r="A830" s="72" t="str">
        <f>IF(F830&lt;&gt;"",1+MAX($A$1:A829),"")</f>
        <v/>
      </c>
      <c r="B830" s="2"/>
      <c r="C830" s="2"/>
      <c r="D830" s="29"/>
      <c r="E830" s="35" t="s">
        <v>443</v>
      </c>
      <c r="F830" s="25"/>
      <c r="G830" s="20"/>
      <c r="H830" s="3"/>
      <c r="I830" s="21"/>
      <c r="J830" s="269"/>
      <c r="K830" s="42"/>
      <c r="L830" s="37">
        <f>SUM(K827:K829)</f>
        <v>0</v>
      </c>
    </row>
    <row r="831" spans="1:12" s="85" customFormat="1" ht="19.5" thickBot="1" x14ac:dyDescent="0.25">
      <c r="A831" s="72" t="str">
        <f>IF(F831&lt;&gt;"",1+MAX($A$1:A830),"")</f>
        <v/>
      </c>
      <c r="B831" s="73"/>
      <c r="C831" s="266"/>
      <c r="D831" s="86"/>
      <c r="E831" s="80"/>
      <c r="F831" s="81"/>
      <c r="G831" s="74"/>
      <c r="H831" s="82"/>
      <c r="I831" s="83"/>
      <c r="J831" s="79"/>
      <c r="K831" s="84"/>
      <c r="L831" s="78"/>
    </row>
    <row r="832" spans="1:12" s="1" customFormat="1" ht="16.5" thickBot="1" x14ac:dyDescent="0.25">
      <c r="A832" s="72" t="str">
        <f>IF(F832&lt;&gt;"",1+MAX($A$1:A831),"")</f>
        <v/>
      </c>
      <c r="B832" s="26"/>
      <c r="C832" s="265"/>
      <c r="D832" s="150"/>
      <c r="E832" s="151" t="s">
        <v>444</v>
      </c>
      <c r="F832" s="152"/>
      <c r="G832" s="153"/>
      <c r="H832" s="154"/>
      <c r="I832" s="155"/>
      <c r="J832" s="240"/>
      <c r="K832" s="156"/>
      <c r="L832" s="17"/>
    </row>
    <row r="833" spans="1:12" s="268" customFormat="1" ht="63" x14ac:dyDescent="0.2">
      <c r="A833" s="72">
        <f>IF(F833&lt;&gt;"",1+MAX($A$1:A832),"")</f>
        <v>431</v>
      </c>
      <c r="B833" s="2" t="s">
        <v>410</v>
      </c>
      <c r="C833" s="266" t="s">
        <v>411</v>
      </c>
      <c r="D833" s="267"/>
      <c r="E833" s="228" t="s">
        <v>660</v>
      </c>
      <c r="F833" s="264">
        <v>167</v>
      </c>
      <c r="G833" s="74">
        <v>0.1</v>
      </c>
      <c r="H833" s="75">
        <f t="shared" ref="H833" si="227">F833*(1+G833)</f>
        <v>183.70000000000002</v>
      </c>
      <c r="I833" s="76" t="s">
        <v>16</v>
      </c>
      <c r="J833" s="215">
        <v>0</v>
      </c>
      <c r="K833" s="77">
        <f t="shared" ref="K833" si="228">J833*H833</f>
        <v>0</v>
      </c>
      <c r="L833" s="78"/>
    </row>
    <row r="834" spans="1:12" s="1" customFormat="1" ht="16.5" thickBot="1" x14ac:dyDescent="0.25">
      <c r="A834" s="72" t="str">
        <f>IF(F834&lt;&gt;"",1+MAX($A$1:A833),"")</f>
        <v/>
      </c>
      <c r="B834" s="30"/>
      <c r="C834" s="2"/>
      <c r="D834" s="29"/>
      <c r="F834" s="31"/>
      <c r="G834" s="32"/>
      <c r="H834" s="31"/>
      <c r="I834" s="33"/>
      <c r="J834" s="45"/>
      <c r="K834" s="41"/>
      <c r="L834" s="36"/>
    </row>
    <row r="835" spans="1:12" s="1" customFormat="1" ht="16.5" thickBot="1" x14ac:dyDescent="0.25">
      <c r="A835" s="72" t="str">
        <f>IF(F835&lt;&gt;"",1+MAX($A$1:A834),"")</f>
        <v/>
      </c>
      <c r="B835" s="2"/>
      <c r="C835" s="2"/>
      <c r="D835" s="29"/>
      <c r="E835" s="35" t="s">
        <v>445</v>
      </c>
      <c r="F835" s="25"/>
      <c r="G835" s="20"/>
      <c r="H835" s="3"/>
      <c r="I835" s="21"/>
      <c r="J835" s="269"/>
      <c r="K835" s="42"/>
      <c r="L835" s="37">
        <f>SUM(K832:K834)</f>
        <v>0</v>
      </c>
    </row>
    <row r="836" spans="1:12" s="85" customFormat="1" ht="19.5" thickBot="1" x14ac:dyDescent="0.25">
      <c r="A836" s="72" t="str">
        <f>IF(F836&lt;&gt;"",1+MAX($A$1:A835),"")</f>
        <v/>
      </c>
      <c r="B836" s="73"/>
      <c r="C836" s="266"/>
      <c r="D836" s="86"/>
      <c r="E836" s="80"/>
      <c r="F836" s="81"/>
      <c r="G836" s="74"/>
      <c r="H836" s="82"/>
      <c r="I836" s="83"/>
      <c r="J836" s="79"/>
      <c r="K836" s="84"/>
      <c r="L836" s="78"/>
    </row>
    <row r="837" spans="1:12" s="1" customFormat="1" ht="16.5" thickBot="1" x14ac:dyDescent="0.25">
      <c r="A837" s="72" t="str">
        <f>IF(F837&lt;&gt;"",1+MAX($A$1:A836),"")</f>
        <v/>
      </c>
      <c r="B837" s="26"/>
      <c r="C837" s="265"/>
      <c r="D837" s="150"/>
      <c r="E837" s="151" t="s">
        <v>446</v>
      </c>
      <c r="F837" s="152"/>
      <c r="G837" s="153"/>
      <c r="H837" s="154"/>
      <c r="I837" s="155"/>
      <c r="J837" s="240"/>
      <c r="K837" s="156"/>
      <c r="L837" s="17"/>
    </row>
    <row r="838" spans="1:12" s="268" customFormat="1" ht="47.25" x14ac:dyDescent="0.2">
      <c r="A838" s="72">
        <f>IF(F838&lt;&gt;"",1+MAX($A$1:A837),"")</f>
        <v>432</v>
      </c>
      <c r="B838" s="2" t="s">
        <v>410</v>
      </c>
      <c r="C838" s="266" t="s">
        <v>411</v>
      </c>
      <c r="D838" s="267"/>
      <c r="E838" s="228" t="s">
        <v>661</v>
      </c>
      <c r="F838" s="264">
        <v>3611</v>
      </c>
      <c r="G838" s="74">
        <v>0.1</v>
      </c>
      <c r="H838" s="75">
        <f t="shared" ref="H838" si="229">F838*(1+G838)</f>
        <v>3972.1000000000004</v>
      </c>
      <c r="I838" s="76" t="s">
        <v>16</v>
      </c>
      <c r="J838" s="215">
        <v>0</v>
      </c>
      <c r="K838" s="77">
        <f t="shared" ref="K838" si="230">J838*H838</f>
        <v>0</v>
      </c>
      <c r="L838" s="78"/>
    </row>
    <row r="839" spans="1:12" s="1" customFormat="1" ht="16.5" thickBot="1" x14ac:dyDescent="0.25">
      <c r="A839" s="72" t="str">
        <f>IF(F839&lt;&gt;"",1+MAX($A$1:A838),"")</f>
        <v/>
      </c>
      <c r="B839" s="30"/>
      <c r="C839" s="2"/>
      <c r="D839" s="29"/>
      <c r="F839" s="31"/>
      <c r="G839" s="32"/>
      <c r="H839" s="31"/>
      <c r="I839" s="33"/>
      <c r="J839" s="45"/>
      <c r="K839" s="41"/>
      <c r="L839" s="36"/>
    </row>
    <row r="840" spans="1:12" s="1" customFormat="1" ht="16.5" thickBot="1" x14ac:dyDescent="0.25">
      <c r="A840" s="72" t="str">
        <f>IF(F840&lt;&gt;"",1+MAX($A$1:A839),"")</f>
        <v/>
      </c>
      <c r="B840" s="2"/>
      <c r="C840" s="2"/>
      <c r="D840" s="29"/>
      <c r="E840" s="35" t="s">
        <v>447</v>
      </c>
      <c r="F840" s="25"/>
      <c r="G840" s="20"/>
      <c r="H840" s="3"/>
      <c r="I840" s="21"/>
      <c r="J840" s="269"/>
      <c r="K840" s="42"/>
      <c r="L840" s="37">
        <f>SUM(K837:K839)</f>
        <v>0</v>
      </c>
    </row>
    <row r="841" spans="1:12" s="85" customFormat="1" ht="19.5" thickBot="1" x14ac:dyDescent="0.25">
      <c r="A841" s="72" t="str">
        <f>IF(F841&lt;&gt;"",1+MAX($A$1:A840),"")</f>
        <v/>
      </c>
      <c r="B841" s="73"/>
      <c r="C841" s="266"/>
      <c r="D841" s="86"/>
      <c r="E841" s="80"/>
      <c r="F841" s="81"/>
      <c r="G841" s="74"/>
      <c r="H841" s="82"/>
      <c r="I841" s="83"/>
      <c r="J841" s="79"/>
      <c r="K841" s="84"/>
      <c r="L841" s="78"/>
    </row>
    <row r="842" spans="1:12" s="1" customFormat="1" ht="16.5" thickBot="1" x14ac:dyDescent="0.25">
      <c r="A842" s="72" t="str">
        <f>IF(F842&lt;&gt;"",1+MAX($A$1:A841),"")</f>
        <v/>
      </c>
      <c r="B842" s="26"/>
      <c r="C842" s="265"/>
      <c r="D842" s="150"/>
      <c r="E842" s="151" t="s">
        <v>413</v>
      </c>
      <c r="F842" s="152"/>
      <c r="G842" s="153"/>
      <c r="H842" s="154"/>
      <c r="I842" s="155"/>
      <c r="J842" s="240"/>
      <c r="K842" s="156"/>
      <c r="L842" s="17"/>
    </row>
    <row r="843" spans="1:12" s="268" customFormat="1" ht="18.75" x14ac:dyDescent="0.2">
      <c r="A843" s="72">
        <f>IF(F843&lt;&gt;"",1+MAX($A$1:A842),"")</f>
        <v>433</v>
      </c>
      <c r="B843" s="2" t="s">
        <v>410</v>
      </c>
      <c r="C843" s="266" t="s">
        <v>411</v>
      </c>
      <c r="D843" s="267"/>
      <c r="E843" s="228" t="s">
        <v>414</v>
      </c>
      <c r="F843" s="264">
        <v>92</v>
      </c>
      <c r="G843" s="74">
        <v>0.1</v>
      </c>
      <c r="H843" s="75">
        <f t="shared" ref="H843" si="231">F843*(1+G843)</f>
        <v>101.2</v>
      </c>
      <c r="I843" s="76" t="s">
        <v>16</v>
      </c>
      <c r="J843" s="144">
        <v>0</v>
      </c>
      <c r="K843" s="77">
        <f>J843*H843</f>
        <v>0</v>
      </c>
      <c r="L843" s="78"/>
    </row>
    <row r="844" spans="1:12" s="1" customFormat="1" ht="16.5" thickBot="1" x14ac:dyDescent="0.25">
      <c r="A844" s="72" t="str">
        <f>IF(F844&lt;&gt;"",1+MAX($A$1:A843),"")</f>
        <v/>
      </c>
      <c r="B844" s="30"/>
      <c r="C844" s="2"/>
      <c r="D844" s="29"/>
      <c r="F844" s="31"/>
      <c r="G844" s="32"/>
      <c r="H844" s="31"/>
      <c r="I844" s="33"/>
      <c r="J844" s="45"/>
      <c r="K844" s="41"/>
      <c r="L844" s="36"/>
    </row>
    <row r="845" spans="1:12" s="1" customFormat="1" ht="16.5" thickBot="1" x14ac:dyDescent="0.25">
      <c r="A845" s="72" t="str">
        <f>IF(F845&lt;&gt;"",1+MAX($A$1:A844),"")</f>
        <v/>
      </c>
      <c r="B845" s="2"/>
      <c r="C845" s="2"/>
      <c r="D845" s="29"/>
      <c r="E845" s="35" t="s">
        <v>415</v>
      </c>
      <c r="F845" s="25"/>
      <c r="G845" s="20"/>
      <c r="H845" s="3"/>
      <c r="I845" s="21"/>
      <c r="J845" s="269"/>
      <c r="K845" s="42"/>
      <c r="L845" s="37">
        <f>SUM(K842:K844)</f>
        <v>0</v>
      </c>
    </row>
    <row r="846" spans="1:12" s="85" customFormat="1" ht="19.5" thickBot="1" x14ac:dyDescent="0.25">
      <c r="A846" s="72" t="str">
        <f>IF(F846&lt;&gt;"",1+MAX($A$1:A845),"")</f>
        <v/>
      </c>
      <c r="B846" s="73"/>
      <c r="C846" s="266"/>
      <c r="D846" s="86"/>
      <c r="E846" s="80"/>
      <c r="F846" s="81"/>
      <c r="G846" s="74"/>
      <c r="H846" s="82"/>
      <c r="I846" s="83"/>
      <c r="J846" s="79"/>
      <c r="K846" s="84"/>
      <c r="L846" s="78"/>
    </row>
    <row r="847" spans="1:12" s="1" customFormat="1" ht="16.5" thickBot="1" x14ac:dyDescent="0.25">
      <c r="A847" s="72" t="str">
        <f>IF(F847&lt;&gt;"",1+MAX($A$1:A846),"")</f>
        <v/>
      </c>
      <c r="B847" s="26"/>
      <c r="C847" s="265"/>
      <c r="D847" s="150"/>
      <c r="E847" s="151" t="s">
        <v>751</v>
      </c>
      <c r="F847" s="152"/>
      <c r="G847" s="153"/>
      <c r="H847" s="154"/>
      <c r="I847" s="155"/>
      <c r="J847" s="240"/>
      <c r="K847" s="156"/>
      <c r="L847" s="17"/>
    </row>
    <row r="848" spans="1:12" s="268" customFormat="1" ht="18.75" x14ac:dyDescent="0.2">
      <c r="A848" s="72">
        <f>IF(F848&lt;&gt;"",1+MAX($A$1:A847),"")</f>
        <v>434</v>
      </c>
      <c r="B848" s="2" t="s">
        <v>410</v>
      </c>
      <c r="C848" s="266" t="s">
        <v>411</v>
      </c>
      <c r="D848" s="267"/>
      <c r="E848" s="228" t="s">
        <v>752</v>
      </c>
      <c r="F848" s="264">
        <v>9088</v>
      </c>
      <c r="G848" s="74">
        <v>0.1</v>
      </c>
      <c r="H848" s="75">
        <f t="shared" ref="H848" si="232">F848*(1+G848)</f>
        <v>9996.8000000000011</v>
      </c>
      <c r="I848" s="76" t="s">
        <v>16</v>
      </c>
      <c r="J848" s="144">
        <v>0</v>
      </c>
      <c r="K848" s="77">
        <f>J848*H848</f>
        <v>0</v>
      </c>
      <c r="L848" s="78"/>
    </row>
    <row r="849" spans="1:12" s="1" customFormat="1" ht="16.5" thickBot="1" x14ac:dyDescent="0.25">
      <c r="A849" s="72" t="str">
        <f>IF(F849&lt;&gt;"",1+MAX($A$1:A848),"")</f>
        <v/>
      </c>
      <c r="B849" s="30"/>
      <c r="C849" s="2"/>
      <c r="D849" s="29"/>
      <c r="F849" s="31"/>
      <c r="G849" s="32"/>
      <c r="H849" s="31"/>
      <c r="I849" s="33"/>
      <c r="J849" s="45"/>
      <c r="K849" s="41"/>
      <c r="L849" s="36"/>
    </row>
    <row r="850" spans="1:12" s="1" customFormat="1" ht="16.5" thickBot="1" x14ac:dyDescent="0.25">
      <c r="A850" s="72" t="str">
        <f>IF(F850&lt;&gt;"",1+MAX($A$1:A849),"")</f>
        <v/>
      </c>
      <c r="B850" s="2"/>
      <c r="C850" s="2"/>
      <c r="D850" s="29"/>
      <c r="E850" s="35" t="s">
        <v>753</v>
      </c>
      <c r="F850" s="25"/>
      <c r="G850" s="20"/>
      <c r="H850" s="3"/>
      <c r="I850" s="21"/>
      <c r="J850" s="269"/>
      <c r="K850" s="42"/>
      <c r="L850" s="37">
        <f>SUM(K847:K849)</f>
        <v>0</v>
      </c>
    </row>
    <row r="851" spans="1:12" s="85" customFormat="1" ht="19.5" thickBot="1" x14ac:dyDescent="0.25">
      <c r="A851" s="72" t="str">
        <f>IF(F851&lt;&gt;"",1+MAX($A$1:A850),"")</f>
        <v/>
      </c>
      <c r="B851" s="73"/>
      <c r="C851" s="266"/>
      <c r="D851" s="86"/>
      <c r="E851" s="80"/>
      <c r="F851" s="81"/>
      <c r="G851" s="74"/>
      <c r="H851" s="82"/>
      <c r="I851" s="83"/>
      <c r="J851" s="79"/>
      <c r="K851" s="84"/>
      <c r="L851" s="78"/>
    </row>
    <row r="852" spans="1:12" s="1" customFormat="1" ht="16.5" thickBot="1" x14ac:dyDescent="0.25">
      <c r="A852" s="72" t="str">
        <f>IF(F852&lt;&gt;"",1+MAX($A$1:A851),"")</f>
        <v/>
      </c>
      <c r="B852" s="26"/>
      <c r="C852" s="265"/>
      <c r="D852" s="150"/>
      <c r="E852" s="151" t="s">
        <v>416</v>
      </c>
      <c r="F852" s="152"/>
      <c r="G852" s="153"/>
      <c r="H852" s="154"/>
      <c r="I852" s="155"/>
      <c r="J852" s="240"/>
      <c r="K852" s="156"/>
      <c r="L852" s="17"/>
    </row>
    <row r="853" spans="1:12" s="268" customFormat="1" ht="63" x14ac:dyDescent="0.2">
      <c r="A853" s="72">
        <f>IF(F853&lt;&gt;"",1+MAX($A$1:A852),"")</f>
        <v>435</v>
      </c>
      <c r="B853" s="2" t="s">
        <v>410</v>
      </c>
      <c r="C853" s="266" t="s">
        <v>411</v>
      </c>
      <c r="D853" s="267"/>
      <c r="E853" s="228" t="s">
        <v>679</v>
      </c>
      <c r="F853" s="264">
        <v>2155</v>
      </c>
      <c r="G853" s="74">
        <v>0.1</v>
      </c>
      <c r="H853" s="75">
        <f t="shared" ref="H853" si="233">F853*(1+G853)</f>
        <v>2370.5</v>
      </c>
      <c r="I853" s="76" t="s">
        <v>13</v>
      </c>
      <c r="J853" s="144">
        <v>0</v>
      </c>
      <c r="K853" s="77">
        <f>J853*H853</f>
        <v>0</v>
      </c>
      <c r="L853" s="78"/>
    </row>
    <row r="854" spans="1:12" s="1" customFormat="1" ht="16.5" thickBot="1" x14ac:dyDescent="0.25">
      <c r="A854" s="72" t="str">
        <f>IF(F854&lt;&gt;"",1+MAX($A$1:A853),"")</f>
        <v/>
      </c>
      <c r="B854" s="30"/>
      <c r="C854" s="2"/>
      <c r="D854" s="29"/>
      <c r="F854" s="31"/>
      <c r="G854" s="32"/>
      <c r="H854" s="31"/>
      <c r="I854" s="33"/>
      <c r="J854" s="45"/>
      <c r="K854" s="41"/>
      <c r="L854" s="36"/>
    </row>
    <row r="855" spans="1:12" s="1" customFormat="1" ht="16.5" thickBot="1" x14ac:dyDescent="0.25">
      <c r="A855" s="72" t="str">
        <f>IF(F855&lt;&gt;"",1+MAX($A$1:A854),"")</f>
        <v/>
      </c>
      <c r="B855" s="2"/>
      <c r="C855" s="2"/>
      <c r="D855" s="29"/>
      <c r="E855" s="35" t="s">
        <v>417</v>
      </c>
      <c r="F855" s="25"/>
      <c r="G855" s="20"/>
      <c r="H855" s="3"/>
      <c r="I855" s="21"/>
      <c r="J855" s="269"/>
      <c r="K855" s="42"/>
      <c r="L855" s="37">
        <f>SUM(K852:K854)</f>
        <v>0</v>
      </c>
    </row>
    <row r="856" spans="1:12" s="85" customFormat="1" ht="19.5" thickBot="1" x14ac:dyDescent="0.25">
      <c r="A856" s="72" t="str">
        <f>IF(F856&lt;&gt;"",1+MAX($A$1:A855),"")</f>
        <v/>
      </c>
      <c r="B856" s="73"/>
      <c r="C856" s="266"/>
      <c r="D856" s="86"/>
      <c r="E856" s="80"/>
      <c r="F856" s="81"/>
      <c r="G856" s="74"/>
      <c r="H856" s="82"/>
      <c r="I856" s="83"/>
      <c r="J856" s="79"/>
      <c r="K856" s="84"/>
      <c r="L856" s="78"/>
    </row>
    <row r="857" spans="1:12" s="1" customFormat="1" ht="16.5" thickBot="1" x14ac:dyDescent="0.25">
      <c r="A857" s="72" t="str">
        <f>IF(F857&lt;&gt;"",1+MAX($A$1:A856),"")</f>
        <v/>
      </c>
      <c r="B857" s="26"/>
      <c r="C857" s="265"/>
      <c r="D857" s="150"/>
      <c r="E857" s="151" t="s">
        <v>418</v>
      </c>
      <c r="F857" s="152"/>
      <c r="G857" s="153"/>
      <c r="H857" s="154"/>
      <c r="I857" s="155"/>
      <c r="J857" s="240"/>
      <c r="K857" s="156"/>
      <c r="L857" s="17"/>
    </row>
    <row r="858" spans="1:12" s="268" customFormat="1" ht="18.75" x14ac:dyDescent="0.2">
      <c r="A858" s="72">
        <f>IF(F858&lt;&gt;"",1+MAX($A$1:A857),"")</f>
        <v>436</v>
      </c>
      <c r="B858" s="2" t="s">
        <v>345</v>
      </c>
      <c r="C858" s="266" t="s">
        <v>419</v>
      </c>
      <c r="D858" s="267"/>
      <c r="E858" s="228" t="s">
        <v>420</v>
      </c>
      <c r="F858" s="264">
        <v>25</v>
      </c>
      <c r="G858" s="74">
        <v>0.1</v>
      </c>
      <c r="H858" s="75">
        <f t="shared" ref="H858:H860" si="234">F858*(1+G858)</f>
        <v>27.500000000000004</v>
      </c>
      <c r="I858" s="76" t="s">
        <v>13</v>
      </c>
      <c r="J858" s="144">
        <v>0</v>
      </c>
      <c r="K858" s="77">
        <f>J858*H858</f>
        <v>0</v>
      </c>
      <c r="L858" s="78"/>
    </row>
    <row r="859" spans="1:12" s="268" customFormat="1" ht="18.75" x14ac:dyDescent="0.2">
      <c r="A859" s="72">
        <f>IF(F859&lt;&gt;"",1+MAX($A$1:A858),"")</f>
        <v>437</v>
      </c>
      <c r="B859" s="2" t="s">
        <v>345</v>
      </c>
      <c r="C859" s="266" t="s">
        <v>419</v>
      </c>
      <c r="D859" s="267"/>
      <c r="E859" s="228" t="s">
        <v>421</v>
      </c>
      <c r="F859" s="264">
        <f>84.4+24.9</f>
        <v>109.30000000000001</v>
      </c>
      <c r="G859" s="74">
        <v>0.1</v>
      </c>
      <c r="H859" s="75">
        <f t="shared" si="234"/>
        <v>120.23000000000002</v>
      </c>
      <c r="I859" s="76" t="s">
        <v>13</v>
      </c>
      <c r="J859" s="144">
        <v>0</v>
      </c>
      <c r="K859" s="77">
        <f>J859*H859</f>
        <v>0</v>
      </c>
      <c r="L859" s="78"/>
    </row>
    <row r="860" spans="1:12" s="268" customFormat="1" ht="18.75" x14ac:dyDescent="0.2">
      <c r="A860" s="72">
        <f>IF(F860&lt;&gt;"",1+MAX($A$1:A859),"")</f>
        <v>438</v>
      </c>
      <c r="B860" s="2" t="s">
        <v>345</v>
      </c>
      <c r="C860" s="266" t="s">
        <v>419</v>
      </c>
      <c r="D860" s="267"/>
      <c r="E860" s="228" t="s">
        <v>422</v>
      </c>
      <c r="F860" s="264">
        <f>8.6+3.1+6.2+6.5</f>
        <v>24.4</v>
      </c>
      <c r="G860" s="74">
        <v>0.1</v>
      </c>
      <c r="H860" s="75">
        <f t="shared" si="234"/>
        <v>26.84</v>
      </c>
      <c r="I860" s="76" t="s">
        <v>13</v>
      </c>
      <c r="J860" s="144">
        <v>0</v>
      </c>
      <c r="K860" s="77">
        <f>J860*H860</f>
        <v>0</v>
      </c>
      <c r="L860" s="78"/>
    </row>
    <row r="861" spans="1:12" s="1" customFormat="1" ht="16.5" thickBot="1" x14ac:dyDescent="0.25">
      <c r="A861" s="72" t="str">
        <f>IF(F861&lt;&gt;"",1+MAX($A$1:A860),"")</f>
        <v/>
      </c>
      <c r="B861" s="30"/>
      <c r="C861" s="2"/>
      <c r="D861" s="29"/>
      <c r="F861" s="31"/>
      <c r="G861" s="32"/>
      <c r="H861" s="31"/>
      <c r="I861" s="33"/>
      <c r="J861" s="45"/>
      <c r="K861" s="41"/>
      <c r="L861" s="36"/>
    </row>
    <row r="862" spans="1:12" s="1" customFormat="1" ht="16.5" thickBot="1" x14ac:dyDescent="0.25">
      <c r="A862" s="72" t="str">
        <f>IF(F862&lt;&gt;"",1+MAX($A$1:A861),"")</f>
        <v/>
      </c>
      <c r="B862" s="2"/>
      <c r="C862" s="2"/>
      <c r="D862" s="29"/>
      <c r="E862" s="35" t="s">
        <v>423</v>
      </c>
      <c r="F862" s="25"/>
      <c r="G862" s="20"/>
      <c r="H862" s="3"/>
      <c r="I862" s="21"/>
      <c r="J862" s="269"/>
      <c r="K862" s="42"/>
      <c r="L862" s="37">
        <f>SUM(K857:K861)</f>
        <v>0</v>
      </c>
    </row>
    <row r="863" spans="1:12" s="85" customFormat="1" ht="19.5" thickBot="1" x14ac:dyDescent="0.25">
      <c r="A863" s="72" t="str">
        <f>IF(F863&lt;&gt;"",1+MAX($A$1:A862),"")</f>
        <v/>
      </c>
      <c r="B863" s="73"/>
      <c r="C863" s="266"/>
      <c r="D863" s="86"/>
      <c r="E863" s="80"/>
      <c r="F863" s="81"/>
      <c r="G863" s="74"/>
      <c r="H863" s="82"/>
      <c r="I863" s="83"/>
      <c r="J863" s="79"/>
      <c r="K863" s="84"/>
      <c r="L863" s="78"/>
    </row>
    <row r="864" spans="1:12" s="1" customFormat="1" ht="16.5" thickBot="1" x14ac:dyDescent="0.25">
      <c r="A864" s="72" t="str">
        <f>IF(F864&lt;&gt;"",1+MAX($A$1:A863),"")</f>
        <v/>
      </c>
      <c r="B864" s="26"/>
      <c r="C864" s="265"/>
      <c r="D864" s="150"/>
      <c r="E864" s="151" t="s">
        <v>424</v>
      </c>
      <c r="F864" s="152"/>
      <c r="G864" s="282"/>
      <c r="H864" s="154"/>
      <c r="I864" s="155"/>
      <c r="J864" s="240"/>
      <c r="K864" s="156"/>
      <c r="L864" s="17"/>
    </row>
    <row r="865" spans="1:12" s="1" customFormat="1" x14ac:dyDescent="0.2">
      <c r="A865" s="72" t="str">
        <f>IF(F865&lt;&gt;"",1+MAX($A$1:A864),"")</f>
        <v/>
      </c>
      <c r="B865" s="2"/>
      <c r="C865" s="2"/>
      <c r="D865" s="29"/>
      <c r="E865" s="283" t="s">
        <v>425</v>
      </c>
      <c r="F865" s="25"/>
      <c r="G865" s="20"/>
      <c r="H865" s="3"/>
      <c r="I865" s="21"/>
      <c r="J865" s="269"/>
      <c r="K865" s="284"/>
      <c r="L865" s="36"/>
    </row>
    <row r="866" spans="1:12" s="268" customFormat="1" ht="78.75" x14ac:dyDescent="0.2">
      <c r="A866" s="72">
        <f>IF(F866&lt;&gt;"",1+MAX($A$1:A865),"")</f>
        <v>439</v>
      </c>
      <c r="B866" s="2" t="s">
        <v>345</v>
      </c>
      <c r="C866" s="266" t="s">
        <v>348</v>
      </c>
      <c r="D866" s="267"/>
      <c r="E866" s="228" t="s">
        <v>681</v>
      </c>
      <c r="F866" s="264">
        <v>5436</v>
      </c>
      <c r="G866" s="74">
        <v>0.1</v>
      </c>
      <c r="H866" s="75">
        <f t="shared" ref="H866:H867" si="235">F866*(1+G866)</f>
        <v>5979.6</v>
      </c>
      <c r="I866" s="76" t="s">
        <v>16</v>
      </c>
      <c r="J866" s="215">
        <v>0</v>
      </c>
      <c r="K866" s="77">
        <f t="shared" ref="K866:K867" si="236">J866*H866</f>
        <v>0</v>
      </c>
      <c r="L866" s="78"/>
    </row>
    <row r="867" spans="1:12" s="268" customFormat="1" ht="78.75" x14ac:dyDescent="0.2">
      <c r="A867" s="72">
        <f>IF(F867&lt;&gt;"",1+MAX($A$1:A866),"")</f>
        <v>440</v>
      </c>
      <c r="B867" s="2" t="s">
        <v>345</v>
      </c>
      <c r="C867" s="266" t="s">
        <v>348</v>
      </c>
      <c r="D867" s="267"/>
      <c r="E867" s="228" t="s">
        <v>680</v>
      </c>
      <c r="F867" s="264">
        <v>2395</v>
      </c>
      <c r="G867" s="74">
        <v>0.1</v>
      </c>
      <c r="H867" s="75">
        <f t="shared" si="235"/>
        <v>2634.5</v>
      </c>
      <c r="I867" s="76" t="s">
        <v>16</v>
      </c>
      <c r="J867" s="215">
        <v>0</v>
      </c>
      <c r="K867" s="77">
        <f t="shared" si="236"/>
        <v>0</v>
      </c>
      <c r="L867" s="78"/>
    </row>
    <row r="868" spans="1:12" s="1" customFormat="1" x14ac:dyDescent="0.2">
      <c r="A868" s="72" t="str">
        <f>IF(F868&lt;&gt;"",1+MAX($A$1:A867),"")</f>
        <v/>
      </c>
      <c r="B868" s="2"/>
      <c r="C868" s="2"/>
      <c r="D868" s="29"/>
      <c r="E868" s="283" t="s">
        <v>426</v>
      </c>
      <c r="F868" s="25"/>
      <c r="G868" s="20"/>
      <c r="H868" s="3"/>
      <c r="I868" s="21"/>
      <c r="J868" s="269"/>
      <c r="K868" s="284"/>
      <c r="L868" s="36"/>
    </row>
    <row r="869" spans="1:12" s="268" customFormat="1" ht="63" x14ac:dyDescent="0.2">
      <c r="A869" s="72">
        <f>IF(F869&lt;&gt;"",1+MAX($A$1:A868),"")</f>
        <v>441</v>
      </c>
      <c r="B869" s="2" t="s">
        <v>345</v>
      </c>
      <c r="C869" s="266" t="s">
        <v>348</v>
      </c>
      <c r="D869" s="267"/>
      <c r="E869" s="228" t="s">
        <v>682</v>
      </c>
      <c r="F869" s="264">
        <v>72</v>
      </c>
      <c r="G869" s="74">
        <v>0.1</v>
      </c>
      <c r="H869" s="75">
        <f t="shared" ref="H869:H870" si="237">F869*(1+G869)</f>
        <v>79.2</v>
      </c>
      <c r="I869" s="76" t="s">
        <v>16</v>
      </c>
      <c r="J869" s="215">
        <v>0</v>
      </c>
      <c r="K869" s="77">
        <f t="shared" ref="K869:K870" si="238">J869*H869</f>
        <v>0</v>
      </c>
      <c r="L869" s="78"/>
    </row>
    <row r="870" spans="1:12" s="268" customFormat="1" ht="78.75" x14ac:dyDescent="0.2">
      <c r="A870" s="72">
        <f>IF(F870&lt;&gt;"",1+MAX($A$1:A869),"")</f>
        <v>442</v>
      </c>
      <c r="B870" s="2" t="s">
        <v>345</v>
      </c>
      <c r="C870" s="266" t="s">
        <v>348</v>
      </c>
      <c r="D870" s="267"/>
      <c r="E870" s="228" t="s">
        <v>683</v>
      </c>
      <c r="F870" s="264">
        <v>468</v>
      </c>
      <c r="G870" s="74">
        <v>0.1</v>
      </c>
      <c r="H870" s="75">
        <f t="shared" si="237"/>
        <v>514.80000000000007</v>
      </c>
      <c r="I870" s="76" t="s">
        <v>16</v>
      </c>
      <c r="J870" s="215">
        <v>0</v>
      </c>
      <c r="K870" s="77">
        <f t="shared" si="238"/>
        <v>0</v>
      </c>
      <c r="L870" s="78"/>
    </row>
    <row r="871" spans="1:12" s="1" customFormat="1" x14ac:dyDescent="0.2">
      <c r="A871" s="72" t="str">
        <f>IF(F871&lt;&gt;"",1+MAX($A$1:A870),"")</f>
        <v/>
      </c>
      <c r="B871" s="2"/>
      <c r="C871" s="2"/>
      <c r="D871" s="29"/>
      <c r="E871" s="283" t="s">
        <v>427</v>
      </c>
      <c r="F871" s="25"/>
      <c r="G871" s="20"/>
      <c r="H871" s="3"/>
      <c r="I871" s="21"/>
      <c r="J871" s="269"/>
      <c r="K871" s="284"/>
      <c r="L871" s="36"/>
    </row>
    <row r="872" spans="1:12" s="268" customFormat="1" ht="18.75" x14ac:dyDescent="0.2">
      <c r="A872" s="72">
        <f>IF(F872&lt;&gt;"",1+MAX($A$1:A871),"")</f>
        <v>443</v>
      </c>
      <c r="B872" s="73" t="s">
        <v>345</v>
      </c>
      <c r="C872" s="266" t="s">
        <v>352</v>
      </c>
      <c r="D872" s="270"/>
      <c r="E872" s="228" t="s">
        <v>428</v>
      </c>
      <c r="F872" s="264">
        <f>261*2</f>
        <v>522</v>
      </c>
      <c r="G872" s="74">
        <v>0.1</v>
      </c>
      <c r="H872" s="75">
        <f t="shared" ref="H872:H873" si="239">F872*(1+G872)</f>
        <v>574.20000000000005</v>
      </c>
      <c r="I872" s="76" t="s">
        <v>13</v>
      </c>
      <c r="J872" s="144">
        <v>0</v>
      </c>
      <c r="K872" s="77">
        <f t="shared" ref="K872:K873" si="240">J872*H872</f>
        <v>0</v>
      </c>
      <c r="L872" s="78"/>
    </row>
    <row r="873" spans="1:12" s="268" customFormat="1" ht="18.75" x14ac:dyDescent="0.2">
      <c r="A873" s="72">
        <f>IF(F873&lt;&gt;"",1+MAX($A$1:A872),"")</f>
        <v>444</v>
      </c>
      <c r="B873" s="73" t="s">
        <v>345</v>
      </c>
      <c r="C873" s="289" t="s">
        <v>429</v>
      </c>
      <c r="D873" s="285"/>
      <c r="E873" s="228" t="s">
        <v>430</v>
      </c>
      <c r="F873" s="264">
        <v>209</v>
      </c>
      <c r="G873" s="74">
        <v>0.1</v>
      </c>
      <c r="H873" s="75">
        <f t="shared" si="239"/>
        <v>229.9</v>
      </c>
      <c r="I873" s="76" t="s">
        <v>13</v>
      </c>
      <c r="J873" s="144">
        <v>0</v>
      </c>
      <c r="K873" s="77">
        <f t="shared" si="240"/>
        <v>0</v>
      </c>
      <c r="L873" s="78"/>
    </row>
    <row r="874" spans="1:12" s="1" customFormat="1" x14ac:dyDescent="0.2">
      <c r="A874" s="72" t="str">
        <f>IF(F874&lt;&gt;"",1+MAX($A$1:A873),"")</f>
        <v/>
      </c>
      <c r="B874" s="2"/>
      <c r="C874" s="2"/>
      <c r="D874" s="29"/>
      <c r="E874" s="283" t="s">
        <v>431</v>
      </c>
      <c r="F874" s="25"/>
      <c r="G874" s="20"/>
      <c r="H874" s="3"/>
      <c r="I874" s="21"/>
      <c r="J874" s="269"/>
      <c r="K874" s="284"/>
      <c r="L874" s="36"/>
    </row>
    <row r="875" spans="1:12" s="268" customFormat="1" ht="18.75" x14ac:dyDescent="0.2">
      <c r="A875" s="72">
        <f>IF(F875&lt;&gt;"",1+MAX($A$1:A874),"")</f>
        <v>445</v>
      </c>
      <c r="B875" s="2" t="s">
        <v>345</v>
      </c>
      <c r="C875" s="266"/>
      <c r="D875" s="267"/>
      <c r="E875" s="228" t="s">
        <v>432</v>
      </c>
      <c r="F875" s="264">
        <v>54</v>
      </c>
      <c r="G875" s="74">
        <v>0.1</v>
      </c>
      <c r="H875" s="75">
        <f t="shared" ref="H875" si="241">F875*(1+G875)</f>
        <v>59.400000000000006</v>
      </c>
      <c r="I875" s="76" t="s">
        <v>13</v>
      </c>
      <c r="J875" s="144">
        <v>0</v>
      </c>
      <c r="K875" s="77">
        <f t="shared" ref="K875" si="242">J875*H875</f>
        <v>0</v>
      </c>
      <c r="L875" s="78"/>
    </row>
    <row r="876" spans="1:12" s="1" customFormat="1" x14ac:dyDescent="0.2">
      <c r="A876" s="72" t="str">
        <f>IF(F876&lt;&gt;"",1+MAX($A$1:A875),"")</f>
        <v/>
      </c>
      <c r="B876" s="2"/>
      <c r="C876" s="2"/>
      <c r="D876" s="29"/>
      <c r="E876" s="283" t="s">
        <v>435</v>
      </c>
      <c r="F876" s="25"/>
      <c r="G876" s="20"/>
      <c r="H876" s="3"/>
      <c r="I876" s="21"/>
      <c r="J876" s="269"/>
      <c r="K876" s="284"/>
      <c r="L876" s="36"/>
    </row>
    <row r="877" spans="1:12" s="268" customFormat="1" ht="31.5" x14ac:dyDescent="0.2">
      <c r="A877" s="72">
        <f>IF(F877&lt;&gt;"",1+MAX($A$1:A876),"")</f>
        <v>446</v>
      </c>
      <c r="B877" s="73" t="s">
        <v>345</v>
      </c>
      <c r="C877" s="266" t="s">
        <v>352</v>
      </c>
      <c r="D877" s="270"/>
      <c r="E877" s="228" t="s">
        <v>353</v>
      </c>
      <c r="F877" s="264">
        <v>261</v>
      </c>
      <c r="G877" s="74">
        <v>0.1</v>
      </c>
      <c r="H877" s="75">
        <f t="shared" ref="H877:H878" si="243">F877*(1+G877)</f>
        <v>287.10000000000002</v>
      </c>
      <c r="I877" s="76" t="s">
        <v>13</v>
      </c>
      <c r="J877" s="144">
        <v>0</v>
      </c>
      <c r="K877" s="77">
        <f t="shared" ref="K877:K878" si="244">J877*H877</f>
        <v>0</v>
      </c>
      <c r="L877" s="78"/>
    </row>
    <row r="878" spans="1:12" s="268" customFormat="1" ht="18.75" x14ac:dyDescent="0.2">
      <c r="A878" s="72">
        <f>IF(F878&lt;&gt;"",1+MAX($A$1:A877),"")</f>
        <v>447</v>
      </c>
      <c r="B878" s="73" t="s">
        <v>345</v>
      </c>
      <c r="C878" s="266" t="s">
        <v>354</v>
      </c>
      <c r="D878" s="270"/>
      <c r="E878" s="228" t="s">
        <v>355</v>
      </c>
      <c r="F878" s="264">
        <v>14</v>
      </c>
      <c r="G878" s="74">
        <v>0.1</v>
      </c>
      <c r="H878" s="75">
        <f t="shared" si="243"/>
        <v>15.400000000000002</v>
      </c>
      <c r="I878" s="76" t="s">
        <v>13</v>
      </c>
      <c r="J878" s="144">
        <v>0</v>
      </c>
      <c r="K878" s="77">
        <f t="shared" si="244"/>
        <v>0</v>
      </c>
      <c r="L878" s="78"/>
    </row>
    <row r="879" spans="1:12" s="1" customFormat="1" ht="16.5" thickBot="1" x14ac:dyDescent="0.25">
      <c r="A879" s="72" t="str">
        <f>IF(F879&lt;&gt;"",1+MAX($A$1:A878),"")</f>
        <v/>
      </c>
      <c r="B879" s="30"/>
      <c r="C879" s="2"/>
      <c r="D879" s="29"/>
      <c r="F879" s="31"/>
      <c r="G879" s="32"/>
      <c r="H879" s="31"/>
      <c r="I879" s="33"/>
      <c r="J879" s="45"/>
      <c r="K879" s="41"/>
      <c r="L879" s="36"/>
    </row>
    <row r="880" spans="1:12" s="1" customFormat="1" ht="16.5" thickBot="1" x14ac:dyDescent="0.25">
      <c r="A880" s="72" t="str">
        <f>IF(F880&lt;&gt;"",1+MAX($A$1:A879),"")</f>
        <v/>
      </c>
      <c r="B880" s="2"/>
      <c r="C880" s="2"/>
      <c r="D880" s="29"/>
      <c r="E880" s="35" t="s">
        <v>434</v>
      </c>
      <c r="F880" s="25"/>
      <c r="G880" s="20"/>
      <c r="H880" s="3"/>
      <c r="I880" s="21"/>
      <c r="J880" s="269"/>
      <c r="K880" s="42"/>
      <c r="L880" s="37">
        <f>SUM(K864:K879)</f>
        <v>0</v>
      </c>
    </row>
    <row r="881" spans="1:12" s="85" customFormat="1" ht="19.5" thickBot="1" x14ac:dyDescent="0.25">
      <c r="A881" s="72" t="str">
        <f>IF(F881&lt;&gt;"",1+MAX($A$1:A880),"")</f>
        <v/>
      </c>
      <c r="B881" s="73"/>
      <c r="C881" s="266"/>
      <c r="D881" s="86"/>
      <c r="E881" s="80"/>
      <c r="F881" s="81"/>
      <c r="G881" s="74"/>
      <c r="H881" s="82"/>
      <c r="I881" s="83"/>
      <c r="J881" s="79"/>
      <c r="K881" s="84"/>
      <c r="L881" s="78"/>
    </row>
    <row r="882" spans="1:12" s="1" customFormat="1" ht="16.5" thickBot="1" x14ac:dyDescent="0.25">
      <c r="A882" s="72" t="str">
        <f>IF(F882&lt;&gt;"",1+MAX($A$1:A881),"")</f>
        <v/>
      </c>
      <c r="B882" s="26"/>
      <c r="C882" s="265"/>
      <c r="D882" s="150"/>
      <c r="E882" s="151" t="s">
        <v>691</v>
      </c>
      <c r="F882" s="152"/>
      <c r="G882" s="153"/>
      <c r="H882" s="154"/>
      <c r="I882" s="155"/>
      <c r="J882" s="240"/>
      <c r="K882" s="156"/>
      <c r="L882" s="17"/>
    </row>
    <row r="883" spans="1:12" s="268" customFormat="1" ht="78.75" x14ac:dyDescent="0.2">
      <c r="A883" s="72">
        <f>IF(F883&lt;&gt;"",1+MAX($A$1:A882),"")</f>
        <v>448</v>
      </c>
      <c r="B883" s="200" t="s">
        <v>692</v>
      </c>
      <c r="C883" s="201" t="s">
        <v>693</v>
      </c>
      <c r="D883" s="201"/>
      <c r="E883" s="214" t="s">
        <v>694</v>
      </c>
      <c r="F883" s="13">
        <f>14.167*10</f>
        <v>141.66999999999999</v>
      </c>
      <c r="G883" s="74">
        <v>0.1</v>
      </c>
      <c r="H883" s="3">
        <f t="shared" ref="H883" si="245">F883*(1+G883)</f>
        <v>155.83699999999999</v>
      </c>
      <c r="I883" s="21" t="s">
        <v>16</v>
      </c>
      <c r="J883" s="215">
        <v>0</v>
      </c>
      <c r="K883" s="136">
        <f t="shared" ref="K883" si="246">J883*H883</f>
        <v>0</v>
      </c>
      <c r="L883" s="78"/>
    </row>
    <row r="884" spans="1:12" s="1" customFormat="1" ht="16.5" thickBot="1" x14ac:dyDescent="0.25">
      <c r="A884" s="72" t="str">
        <f>IF(F884&lt;&gt;"",1+MAX($A$1:A883),"")</f>
        <v/>
      </c>
      <c r="B884" s="200"/>
      <c r="C884" s="201"/>
      <c r="D884" s="2"/>
      <c r="F884" s="202"/>
      <c r="G884" s="203"/>
      <c r="H884" s="202"/>
      <c r="I884" s="204"/>
      <c r="J884" s="205"/>
      <c r="K884" s="206"/>
      <c r="L884" s="36"/>
    </row>
    <row r="885" spans="1:12" s="1" customFormat="1" ht="16.5" thickBot="1" x14ac:dyDescent="0.25">
      <c r="A885" s="72" t="str">
        <f>IF(F885&lt;&gt;"",1+MAX($A$1:A884),"")</f>
        <v/>
      </c>
      <c r="B885" s="200"/>
      <c r="C885" s="201"/>
      <c r="D885" s="201"/>
      <c r="E885" s="35" t="s">
        <v>695</v>
      </c>
      <c r="F885" s="208"/>
      <c r="G885" s="209"/>
      <c r="H885" s="210"/>
      <c r="I885" s="211"/>
      <c r="J885" s="212"/>
      <c r="K885" s="42"/>
      <c r="L885" s="37">
        <f>SUM(K882:K884)</f>
        <v>0</v>
      </c>
    </row>
    <row r="886" spans="1:12" s="85" customFormat="1" ht="19.5" thickBot="1" x14ac:dyDescent="0.25">
      <c r="A886" s="72" t="str">
        <f>IF(F886&lt;&gt;"",1+MAX($A$1:A885),"")</f>
        <v/>
      </c>
      <c r="B886" s="73"/>
      <c r="C886" s="266"/>
      <c r="D886" s="86"/>
      <c r="E886" s="80"/>
      <c r="F886" s="81"/>
      <c r="G886" s="74"/>
      <c r="H886" s="82"/>
      <c r="I886" s="83"/>
      <c r="J886" s="79"/>
      <c r="K886" s="84"/>
      <c r="L886" s="78"/>
    </row>
    <row r="887" spans="1:12" s="1" customFormat="1" ht="16.5" thickBot="1" x14ac:dyDescent="0.25">
      <c r="A887" s="72" t="str">
        <f>IF(F887&lt;&gt;"",1+MAX($A$1:A886),"")</f>
        <v/>
      </c>
      <c r="B887" s="26"/>
      <c r="C887" s="218"/>
      <c r="D887" s="150"/>
      <c r="E887" s="151" t="s">
        <v>134</v>
      </c>
      <c r="F887" s="152"/>
      <c r="G887" s="153"/>
      <c r="H887" s="154"/>
      <c r="I887" s="155"/>
      <c r="J887" s="50"/>
      <c r="K887" s="156"/>
      <c r="L887" s="17"/>
    </row>
    <row r="888" spans="1:12" s="85" customFormat="1" ht="18.75" x14ac:dyDescent="0.2">
      <c r="A888" s="72">
        <f>IF(F888&lt;&gt;"",1+MAX($A$1:A887),"")</f>
        <v>449</v>
      </c>
      <c r="B888" s="2" t="s">
        <v>88</v>
      </c>
      <c r="C888" s="221"/>
      <c r="D888" s="86"/>
      <c r="E888" s="80" t="s">
        <v>135</v>
      </c>
      <c r="F888" s="81">
        <f>38967-1546-142</f>
        <v>37279</v>
      </c>
      <c r="G888" s="74">
        <v>0.1</v>
      </c>
      <c r="H888" s="75">
        <f>F888*(1+G888)</f>
        <v>41006.9</v>
      </c>
      <c r="I888" s="76" t="s">
        <v>16</v>
      </c>
      <c r="J888" s="144">
        <v>0</v>
      </c>
      <c r="K888" s="77">
        <f>J888*H888</f>
        <v>0</v>
      </c>
      <c r="L888" s="78"/>
    </row>
    <row r="889" spans="1:12" s="85" customFormat="1" ht="18.75" x14ac:dyDescent="0.2">
      <c r="A889" s="72">
        <f>IF(F889&lt;&gt;"",1+MAX($A$1:A888),"")</f>
        <v>450</v>
      </c>
      <c r="B889" s="2" t="s">
        <v>132</v>
      </c>
      <c r="C889" s="221"/>
      <c r="D889" s="86"/>
      <c r="E889" s="80" t="s">
        <v>136</v>
      </c>
      <c r="F889" s="81">
        <f>11412</f>
        <v>11412</v>
      </c>
      <c r="G889" s="74">
        <v>0.1</v>
      </c>
      <c r="H889" s="75">
        <f>F889*(1+G889)</f>
        <v>12553.2</v>
      </c>
      <c r="I889" s="76" t="s">
        <v>16</v>
      </c>
      <c r="J889" s="144">
        <v>0</v>
      </c>
      <c r="K889" s="77">
        <f>J889*H889</f>
        <v>0</v>
      </c>
      <c r="L889" s="78"/>
    </row>
    <row r="890" spans="1:12" s="85" customFormat="1" ht="18.75" x14ac:dyDescent="0.2">
      <c r="A890" s="72">
        <f>IF(F890&lt;&gt;"",1+MAX($A$1:A889),"")</f>
        <v>451</v>
      </c>
      <c r="B890" s="2" t="s">
        <v>132</v>
      </c>
      <c r="C890" s="221"/>
      <c r="D890" s="86"/>
      <c r="E890" s="80" t="s">
        <v>137</v>
      </c>
      <c r="F890" s="81">
        <v>55</v>
      </c>
      <c r="G890" s="74">
        <v>0</v>
      </c>
      <c r="H890" s="75">
        <f>F890*(1+G890)</f>
        <v>55</v>
      </c>
      <c r="I890" s="76" t="s">
        <v>18</v>
      </c>
      <c r="J890" s="144">
        <v>0</v>
      </c>
      <c r="K890" s="77">
        <f>J890*H890</f>
        <v>0</v>
      </c>
      <c r="L890" s="78"/>
    </row>
    <row r="891" spans="1:12" s="85" customFormat="1" ht="18.75" x14ac:dyDescent="0.2">
      <c r="A891" s="72">
        <f>IF(F891&lt;&gt;"",1+MAX($A$1:A890),"")</f>
        <v>452</v>
      </c>
      <c r="B891" s="2" t="s">
        <v>132</v>
      </c>
      <c r="C891" s="221"/>
      <c r="D891" s="86"/>
      <c r="E891" s="80" t="s">
        <v>138</v>
      </c>
      <c r="F891" s="81">
        <v>16</v>
      </c>
      <c r="G891" s="74">
        <v>0</v>
      </c>
      <c r="H891" s="75">
        <f>F891*(1+G891)</f>
        <v>16</v>
      </c>
      <c r="I891" s="76" t="s">
        <v>18</v>
      </c>
      <c r="J891" s="144">
        <v>0</v>
      </c>
      <c r="K891" s="77">
        <f>J891*H891</f>
        <v>0</v>
      </c>
      <c r="L891" s="78"/>
    </row>
    <row r="892" spans="1:12" s="1" customFormat="1" ht="16.5" thickBot="1" x14ac:dyDescent="0.25">
      <c r="A892" s="72" t="str">
        <f>IF(F892&lt;&gt;"",1+MAX($A$1:A891),"")</f>
        <v/>
      </c>
      <c r="B892" s="30"/>
      <c r="C892" s="200"/>
      <c r="D892" s="29"/>
      <c r="F892" s="31"/>
      <c r="G892" s="32"/>
      <c r="H892" s="31"/>
      <c r="I892" s="33"/>
      <c r="J892" s="45"/>
      <c r="K892" s="41"/>
      <c r="L892" s="36"/>
    </row>
    <row r="893" spans="1:12" s="1" customFormat="1" ht="16.5" thickBot="1" x14ac:dyDescent="0.25">
      <c r="A893" s="72" t="str">
        <f>IF(F893&lt;&gt;"",1+MAX($A$1:A892),"")</f>
        <v/>
      </c>
      <c r="B893" s="2"/>
      <c r="C893" s="200"/>
      <c r="D893" s="29"/>
      <c r="E893" s="35" t="s">
        <v>139</v>
      </c>
      <c r="F893" s="189"/>
      <c r="G893" s="20"/>
      <c r="H893" s="3"/>
      <c r="I893" s="21"/>
      <c r="J893" s="188"/>
      <c r="K893" s="42"/>
      <c r="L893" s="37">
        <f>SUM(K887:K892)</f>
        <v>0</v>
      </c>
    </row>
    <row r="894" spans="1:12" s="85" customFormat="1" ht="19.5" thickBot="1" x14ac:dyDescent="0.25">
      <c r="A894" s="72" t="str">
        <f>IF(F894&lt;&gt;"",1+MAX($A$1:A893),"")</f>
        <v/>
      </c>
      <c r="B894" s="73"/>
      <c r="C894" s="221"/>
      <c r="D894" s="86"/>
      <c r="E894" s="80"/>
      <c r="F894" s="81"/>
      <c r="G894" s="74"/>
      <c r="H894" s="82"/>
      <c r="I894" s="83"/>
      <c r="J894" s="79"/>
      <c r="K894" s="84"/>
      <c r="L894" s="78"/>
    </row>
    <row r="895" spans="1:12" ht="16.5" thickBot="1" x14ac:dyDescent="0.25">
      <c r="A895" s="72" t="str">
        <f>IF(F895&lt;&gt;"",1+MAX($A$1:A894),"")</f>
        <v/>
      </c>
      <c r="B895" s="38"/>
      <c r="C895" s="22"/>
      <c r="D895" s="22" t="s">
        <v>60</v>
      </c>
      <c r="E895" s="34" t="s">
        <v>53</v>
      </c>
      <c r="F895" s="19"/>
      <c r="G895" s="19"/>
      <c r="H895" s="19"/>
      <c r="I895" s="19"/>
      <c r="J895" s="19"/>
      <c r="K895" s="40"/>
      <c r="L895" s="36"/>
    </row>
    <row r="896" spans="1:12" s="121" customFormat="1" ht="16.5" thickBot="1" x14ac:dyDescent="0.25">
      <c r="A896" s="72" t="str">
        <f>IF(F896&lt;&gt;"",1+MAX($A$1:A895),"")</f>
        <v/>
      </c>
      <c r="B896" s="191"/>
      <c r="C896" s="150"/>
      <c r="D896" s="192"/>
      <c r="E896" s="192" t="s">
        <v>51</v>
      </c>
      <c r="F896" s="193"/>
      <c r="G896" s="194"/>
      <c r="H896" s="195"/>
      <c r="I896" s="196"/>
      <c r="J896" s="197"/>
      <c r="K896" s="198"/>
      <c r="L896" s="137"/>
    </row>
    <row r="897" spans="1:12" s="121" customFormat="1" ht="63" x14ac:dyDescent="0.2">
      <c r="A897" s="72">
        <f>IF(F897&lt;&gt;"",1+MAX($A$1:A896),"")</f>
        <v>453</v>
      </c>
      <c r="B897" s="2" t="s">
        <v>88</v>
      </c>
      <c r="C897" s="2" t="s">
        <v>1028</v>
      </c>
      <c r="D897" s="199"/>
      <c r="E897" s="143" t="s">
        <v>1022</v>
      </c>
      <c r="F897" s="25">
        <f>12</f>
        <v>12</v>
      </c>
      <c r="G897" s="74">
        <v>0</v>
      </c>
      <c r="H897" s="3">
        <f t="shared" ref="H897:H899" si="247">F897*(1+G897)</f>
        <v>12</v>
      </c>
      <c r="I897" s="21" t="s">
        <v>18</v>
      </c>
      <c r="J897" s="144">
        <v>0</v>
      </c>
      <c r="K897" s="136">
        <f t="shared" ref="K897:K899" si="248">J897*H897</f>
        <v>0</v>
      </c>
      <c r="L897" s="137"/>
    </row>
    <row r="898" spans="1:12" s="121" customFormat="1" ht="78.75" x14ac:dyDescent="0.2">
      <c r="A898" s="72">
        <f>IF(F898&lt;&gt;"",1+MAX($A$1:A897),"")</f>
        <v>454</v>
      </c>
      <c r="B898" s="2" t="s">
        <v>88</v>
      </c>
      <c r="C898" s="2" t="s">
        <v>1028</v>
      </c>
      <c r="D898" s="199"/>
      <c r="E898" s="143" t="s">
        <v>1023</v>
      </c>
      <c r="F898" s="25">
        <f>12</f>
        <v>12</v>
      </c>
      <c r="G898" s="74">
        <v>0</v>
      </c>
      <c r="H898" s="3">
        <f t="shared" si="247"/>
        <v>12</v>
      </c>
      <c r="I898" s="21" t="s">
        <v>18</v>
      </c>
      <c r="J898" s="144">
        <v>0</v>
      </c>
      <c r="K898" s="136">
        <f t="shared" si="248"/>
        <v>0</v>
      </c>
      <c r="L898" s="137"/>
    </row>
    <row r="899" spans="1:12" s="121" customFormat="1" ht="63" x14ac:dyDescent="0.2">
      <c r="A899" s="72">
        <f>IF(F899&lt;&gt;"",1+MAX($A$1:A898),"")</f>
        <v>455</v>
      </c>
      <c r="B899" s="2" t="s">
        <v>88</v>
      </c>
      <c r="C899" s="2" t="s">
        <v>1028</v>
      </c>
      <c r="D899" s="199"/>
      <c r="E899" s="143" t="s">
        <v>1024</v>
      </c>
      <c r="F899" s="25">
        <f>12</f>
        <v>12</v>
      </c>
      <c r="G899" s="74">
        <v>0</v>
      </c>
      <c r="H899" s="3">
        <f t="shared" si="247"/>
        <v>12</v>
      </c>
      <c r="I899" s="21" t="s">
        <v>18</v>
      </c>
      <c r="J899" s="144">
        <v>0</v>
      </c>
      <c r="K899" s="136">
        <f t="shared" si="248"/>
        <v>0</v>
      </c>
      <c r="L899" s="137"/>
    </row>
    <row r="900" spans="1:12" s="121" customFormat="1" ht="63" x14ac:dyDescent="0.2">
      <c r="A900" s="72">
        <f>IF(F900&lt;&gt;"",1+MAX($A$1:A899),"")</f>
        <v>456</v>
      </c>
      <c r="B900" s="2" t="s">
        <v>88</v>
      </c>
      <c r="C900" s="2" t="s">
        <v>1028</v>
      </c>
      <c r="D900" s="199"/>
      <c r="E900" s="143" t="s">
        <v>1025</v>
      </c>
      <c r="F900" s="25">
        <f>12</f>
        <v>12</v>
      </c>
      <c r="G900" s="74">
        <v>0</v>
      </c>
      <c r="H900" s="3">
        <f>F900*(1+G900)</f>
        <v>12</v>
      </c>
      <c r="I900" s="21" t="s">
        <v>18</v>
      </c>
      <c r="J900" s="144">
        <v>0</v>
      </c>
      <c r="K900" s="136">
        <f>J900*H900</f>
        <v>0</v>
      </c>
      <c r="L900" s="137"/>
    </row>
    <row r="901" spans="1:12" s="121" customFormat="1" ht="63" x14ac:dyDescent="0.2">
      <c r="A901" s="72">
        <f>IF(F901&lt;&gt;"",1+MAX($A$1:A900),"")</f>
        <v>457</v>
      </c>
      <c r="B901" s="2" t="s">
        <v>88</v>
      </c>
      <c r="C901" s="2" t="s">
        <v>1028</v>
      </c>
      <c r="D901" s="199"/>
      <c r="E901" s="143" t="s">
        <v>1026</v>
      </c>
      <c r="F901" s="25">
        <v>8</v>
      </c>
      <c r="G901" s="74">
        <v>0</v>
      </c>
      <c r="H901" s="3">
        <f>F901*(1+G901)</f>
        <v>8</v>
      </c>
      <c r="I901" s="21" t="s">
        <v>18</v>
      </c>
      <c r="J901" s="144">
        <v>0</v>
      </c>
      <c r="K901" s="136">
        <f>J901*H901</f>
        <v>0</v>
      </c>
      <c r="L901" s="137"/>
    </row>
    <row r="902" spans="1:12" s="121" customFormat="1" ht="63" x14ac:dyDescent="0.2">
      <c r="A902" s="72">
        <f>IF(F902&lt;&gt;"",1+MAX($A$1:A901),"")</f>
        <v>458</v>
      </c>
      <c r="B902" s="2" t="s">
        <v>88</v>
      </c>
      <c r="C902" s="2" t="s">
        <v>1028</v>
      </c>
      <c r="D902" s="199"/>
      <c r="E902" s="143" t="s">
        <v>1027</v>
      </c>
      <c r="F902" s="25">
        <v>3</v>
      </c>
      <c r="G902" s="74">
        <v>0</v>
      </c>
      <c r="H902" s="3">
        <f t="shared" ref="H902" si="249">F902*(1+G902)</f>
        <v>3</v>
      </c>
      <c r="I902" s="21" t="s">
        <v>18</v>
      </c>
      <c r="J902" s="144">
        <v>0</v>
      </c>
      <c r="K902" s="136">
        <f t="shared" ref="K902" si="250">J902*H902</f>
        <v>0</v>
      </c>
      <c r="L902" s="137"/>
    </row>
    <row r="903" spans="1:12" s="121" customFormat="1" ht="16.5" thickBot="1" x14ac:dyDescent="0.25">
      <c r="A903" s="72" t="str">
        <f>IF(F903&lt;&gt;"",1+MAX($A$1:A902),"")</f>
        <v/>
      </c>
      <c r="B903" s="200"/>
      <c r="C903" s="201"/>
      <c r="D903" s="2"/>
      <c r="E903" s="1"/>
      <c r="F903" s="202"/>
      <c r="G903" s="203"/>
      <c r="H903" s="202"/>
      <c r="I903" s="204"/>
      <c r="J903" s="205"/>
      <c r="K903" s="206"/>
      <c r="L903" s="207"/>
    </row>
    <row r="904" spans="1:12" s="121" customFormat="1" ht="16.5" thickBot="1" x14ac:dyDescent="0.25">
      <c r="A904" s="72" t="str">
        <f>IF(F904&lt;&gt;"",1+MAX($A$1:A903),"")</f>
        <v/>
      </c>
      <c r="B904" s="200"/>
      <c r="C904" s="201"/>
      <c r="D904" s="201"/>
      <c r="E904" s="35" t="s">
        <v>52</v>
      </c>
      <c r="F904" s="208"/>
      <c r="G904" s="209"/>
      <c r="H904" s="210"/>
      <c r="I904" s="211"/>
      <c r="J904" s="212"/>
      <c r="K904" s="42"/>
      <c r="L904" s="213">
        <f>SUM(K896:K903)</f>
        <v>0</v>
      </c>
    </row>
    <row r="905" spans="1:12" s="85" customFormat="1" ht="19.5" thickBot="1" x14ac:dyDescent="0.25">
      <c r="A905" s="72" t="str">
        <f>IF(F905&lt;&gt;"",1+MAX($A$1:A904),"")</f>
        <v/>
      </c>
      <c r="B905" s="73"/>
      <c r="C905" s="221"/>
      <c r="D905" s="86"/>
      <c r="E905" s="80"/>
      <c r="F905" s="81"/>
      <c r="G905" s="74"/>
      <c r="H905" s="82"/>
      <c r="I905" s="83"/>
      <c r="J905" s="79"/>
      <c r="K905" s="84"/>
      <c r="L905" s="78"/>
    </row>
    <row r="906" spans="1:12" s="121" customFormat="1" ht="16.5" thickBot="1" x14ac:dyDescent="0.25">
      <c r="A906" s="72" t="str">
        <f>IF(F906&lt;&gt;"",1+MAX($A$1:A905),"")</f>
        <v/>
      </c>
      <c r="B906" s="191"/>
      <c r="C906" s="150"/>
      <c r="D906" s="192"/>
      <c r="E906" s="192" t="s">
        <v>696</v>
      </c>
      <c r="F906" s="193"/>
      <c r="G906" s="194"/>
      <c r="H906" s="195"/>
      <c r="I906" s="196"/>
      <c r="J906" s="197"/>
      <c r="K906" s="198"/>
      <c r="L906" s="137"/>
    </row>
    <row r="907" spans="1:12" s="121" customFormat="1" ht="47.25" x14ac:dyDescent="0.2">
      <c r="A907" s="72">
        <f>IF(F907&lt;&gt;"",1+MAX($A$1:A906),"")</f>
        <v>459</v>
      </c>
      <c r="B907" s="200" t="s">
        <v>697</v>
      </c>
      <c r="C907" s="201" t="s">
        <v>698</v>
      </c>
      <c r="D907" s="201"/>
      <c r="E907" s="214" t="s">
        <v>699</v>
      </c>
      <c r="F907" s="13">
        <v>1</v>
      </c>
      <c r="G907" s="74">
        <v>0</v>
      </c>
      <c r="H907" s="3">
        <f t="shared" ref="H907" si="251">F907*(1+G907)</f>
        <v>1</v>
      </c>
      <c r="I907" s="21" t="s">
        <v>18</v>
      </c>
      <c r="J907" s="144">
        <v>0</v>
      </c>
      <c r="K907" s="136">
        <f t="shared" ref="K907" si="252">J907*H907</f>
        <v>0</v>
      </c>
      <c r="L907" s="137"/>
    </row>
    <row r="908" spans="1:12" s="121" customFormat="1" ht="16.5" thickBot="1" x14ac:dyDescent="0.25">
      <c r="A908" s="72" t="str">
        <f>IF(F908&lt;&gt;"",1+MAX($A$1:A907),"")</f>
        <v/>
      </c>
      <c r="B908" s="200"/>
      <c r="C908" s="201"/>
      <c r="D908" s="2"/>
      <c r="E908" s="1"/>
      <c r="F908" s="202"/>
      <c r="G908" s="203"/>
      <c r="H908" s="202"/>
      <c r="I908" s="204"/>
      <c r="J908" s="205"/>
      <c r="K908" s="206"/>
      <c r="L908" s="207"/>
    </row>
    <row r="909" spans="1:12" s="121" customFormat="1" ht="16.5" thickBot="1" x14ac:dyDescent="0.25">
      <c r="A909" s="72" t="str">
        <f>IF(F909&lt;&gt;"",1+MAX($A$1:A908),"")</f>
        <v/>
      </c>
      <c r="B909" s="200"/>
      <c r="C909" s="201"/>
      <c r="D909" s="201"/>
      <c r="E909" s="35" t="s">
        <v>700</v>
      </c>
      <c r="F909" s="208"/>
      <c r="G909" s="209"/>
      <c r="H909" s="210"/>
      <c r="I909" s="211"/>
      <c r="J909" s="212"/>
      <c r="K909" s="42"/>
      <c r="L909" s="213">
        <f>SUM(K906:K908)</f>
        <v>0</v>
      </c>
    </row>
    <row r="910" spans="1:12" s="121" customFormat="1" ht="16.5" thickBot="1" x14ac:dyDescent="0.25">
      <c r="A910" s="72" t="str">
        <f>IF(F910&lt;&gt;"",1+MAX($A$1:A909),"")</f>
        <v/>
      </c>
      <c r="B910" s="200"/>
      <c r="C910" s="201"/>
      <c r="D910" s="201"/>
      <c r="E910" s="214"/>
      <c r="F910" s="13"/>
      <c r="G910" s="190"/>
      <c r="H910" s="3"/>
      <c r="I910" s="21"/>
      <c r="J910" s="135"/>
      <c r="K910" s="136"/>
      <c r="L910" s="137"/>
    </row>
    <row r="911" spans="1:12" s="121" customFormat="1" ht="16.5" thickBot="1" x14ac:dyDescent="0.25">
      <c r="A911" s="72" t="str">
        <f>IF(F911&lt;&gt;"",1+MAX($A$1:A910),"")</f>
        <v/>
      </c>
      <c r="B911" s="191"/>
      <c r="C911" s="150"/>
      <c r="D911" s="192"/>
      <c r="E911" s="192" t="s">
        <v>701</v>
      </c>
      <c r="F911" s="193"/>
      <c r="G911" s="194"/>
      <c r="H911" s="195"/>
      <c r="I911" s="196"/>
      <c r="J911" s="197"/>
      <c r="K911" s="198"/>
      <c r="L911" s="137"/>
    </row>
    <row r="912" spans="1:12" s="121" customFormat="1" ht="47.25" x14ac:dyDescent="0.2">
      <c r="A912" s="72">
        <f>IF(F912&lt;&gt;"",1+MAX($A$1:A911),"")</f>
        <v>460</v>
      </c>
      <c r="B912" s="200" t="s">
        <v>88</v>
      </c>
      <c r="C912" s="201" t="s">
        <v>702</v>
      </c>
      <c r="D912" s="201"/>
      <c r="E912" s="214" t="s">
        <v>703</v>
      </c>
      <c r="F912" s="13">
        <v>3</v>
      </c>
      <c r="G912" s="74">
        <v>0</v>
      </c>
      <c r="H912" s="3">
        <f t="shared" ref="H912:H916" si="253">F912*(1+G912)</f>
        <v>3</v>
      </c>
      <c r="I912" s="21" t="s">
        <v>18</v>
      </c>
      <c r="J912" s="144">
        <v>0</v>
      </c>
      <c r="K912" s="136">
        <f t="shared" ref="K912:K916" si="254">J912*H912</f>
        <v>0</v>
      </c>
      <c r="L912" s="137"/>
    </row>
    <row r="913" spans="1:13" s="121" customFormat="1" ht="47.25" x14ac:dyDescent="0.2">
      <c r="A913" s="72">
        <f>IF(F913&lt;&gt;"",1+MAX($A$1:A912),"")</f>
        <v>461</v>
      </c>
      <c r="B913" s="200" t="s">
        <v>88</v>
      </c>
      <c r="C913" s="201" t="s">
        <v>702</v>
      </c>
      <c r="D913" s="201"/>
      <c r="E913" s="214" t="s">
        <v>704</v>
      </c>
      <c r="F913" s="13">
        <v>1</v>
      </c>
      <c r="G913" s="74">
        <v>0</v>
      </c>
      <c r="H913" s="3">
        <f t="shared" si="253"/>
        <v>1</v>
      </c>
      <c r="I913" s="21" t="s">
        <v>18</v>
      </c>
      <c r="J913" s="144">
        <v>0</v>
      </c>
      <c r="K913" s="136">
        <f t="shared" si="254"/>
        <v>0</v>
      </c>
      <c r="L913" s="137"/>
    </row>
    <row r="914" spans="1:13" s="121" customFormat="1" ht="47.25" x14ac:dyDescent="0.2">
      <c r="A914" s="72">
        <f>IF(F914&lt;&gt;"",1+MAX($A$1:A913),"")</f>
        <v>462</v>
      </c>
      <c r="B914" s="200" t="s">
        <v>88</v>
      </c>
      <c r="C914" s="201" t="s">
        <v>702</v>
      </c>
      <c r="D914" s="201"/>
      <c r="E914" s="214" t="s">
        <v>705</v>
      </c>
      <c r="F914" s="13">
        <v>3</v>
      </c>
      <c r="G914" s="74">
        <v>0</v>
      </c>
      <c r="H914" s="3">
        <f t="shared" si="253"/>
        <v>3</v>
      </c>
      <c r="I914" s="21" t="s">
        <v>18</v>
      </c>
      <c r="J914" s="144">
        <v>0</v>
      </c>
      <c r="K914" s="136">
        <f t="shared" si="254"/>
        <v>0</v>
      </c>
      <c r="L914" s="137"/>
    </row>
    <row r="915" spans="1:13" s="121" customFormat="1" ht="47.25" x14ac:dyDescent="0.2">
      <c r="A915" s="72">
        <f>IF(F915&lt;&gt;"",1+MAX($A$1:A914),"")</f>
        <v>463</v>
      </c>
      <c r="B915" s="200" t="s">
        <v>88</v>
      </c>
      <c r="C915" s="201" t="s">
        <v>702</v>
      </c>
      <c r="D915" s="201"/>
      <c r="E915" s="214" t="s">
        <v>706</v>
      </c>
      <c r="F915" s="13">
        <v>3</v>
      </c>
      <c r="G915" s="74">
        <v>0</v>
      </c>
      <c r="H915" s="3">
        <f t="shared" si="253"/>
        <v>3</v>
      </c>
      <c r="I915" s="21" t="s">
        <v>18</v>
      </c>
      <c r="J915" s="144">
        <v>0</v>
      </c>
      <c r="K915" s="136">
        <f t="shared" si="254"/>
        <v>0</v>
      </c>
      <c r="L915" s="137"/>
    </row>
    <row r="916" spans="1:13" s="121" customFormat="1" ht="47.25" x14ac:dyDescent="0.2">
      <c r="A916" s="72">
        <f>IF(F916&lt;&gt;"",1+MAX($A$1:A915),"")</f>
        <v>464</v>
      </c>
      <c r="B916" s="200" t="s">
        <v>88</v>
      </c>
      <c r="C916" s="201" t="s">
        <v>702</v>
      </c>
      <c r="D916" s="201"/>
      <c r="E916" s="214" t="s">
        <v>707</v>
      </c>
      <c r="F916" s="13">
        <v>2</v>
      </c>
      <c r="G916" s="74">
        <v>0</v>
      </c>
      <c r="H916" s="3">
        <f t="shared" si="253"/>
        <v>2</v>
      </c>
      <c r="I916" s="21" t="s">
        <v>18</v>
      </c>
      <c r="J916" s="144">
        <v>0</v>
      </c>
      <c r="K916" s="136">
        <f t="shared" si="254"/>
        <v>0</v>
      </c>
      <c r="L916" s="137"/>
    </row>
    <row r="917" spans="1:13" s="121" customFormat="1" ht="16.5" thickBot="1" x14ac:dyDescent="0.25">
      <c r="A917" s="72" t="str">
        <f>IF(F917&lt;&gt;"",1+MAX($A$1:A916),"")</f>
        <v/>
      </c>
      <c r="B917" s="200"/>
      <c r="C917" s="201"/>
      <c r="D917" s="2"/>
      <c r="E917" s="1"/>
      <c r="F917" s="202"/>
      <c r="G917" s="203"/>
      <c r="H917" s="202"/>
      <c r="I917" s="204"/>
      <c r="J917" s="205"/>
      <c r="K917" s="206"/>
      <c r="L917" s="207"/>
    </row>
    <row r="918" spans="1:13" s="121" customFormat="1" ht="16.5" thickBot="1" x14ac:dyDescent="0.25">
      <c r="A918" s="72" t="str">
        <f>IF(F918&lt;&gt;"",1+MAX($A$1:A917),"")</f>
        <v/>
      </c>
      <c r="B918" s="200"/>
      <c r="C918" s="201"/>
      <c r="D918" s="201"/>
      <c r="E918" s="35" t="s">
        <v>708</v>
      </c>
      <c r="F918" s="208"/>
      <c r="G918" s="209"/>
      <c r="H918" s="210"/>
      <c r="I918" s="211"/>
      <c r="J918" s="212"/>
      <c r="K918" s="42"/>
      <c r="L918" s="213">
        <f>SUM(K911:K917)</f>
        <v>0</v>
      </c>
    </row>
    <row r="919" spans="1:13" s="121" customFormat="1" ht="16.5" thickBot="1" x14ac:dyDescent="0.25">
      <c r="A919" s="72" t="str">
        <f>IF(F919&lt;&gt;"",1+MAX($A$1:A918),"")</f>
        <v/>
      </c>
      <c r="B919" s="200"/>
      <c r="C919" s="201"/>
      <c r="D919" s="201"/>
      <c r="E919" s="214"/>
      <c r="F919" s="13"/>
      <c r="G919" s="190"/>
      <c r="H919" s="3"/>
      <c r="I919" s="21"/>
      <c r="J919" s="135"/>
      <c r="K919" s="136"/>
      <c r="L919" s="137"/>
    </row>
    <row r="920" spans="1:13" s="121" customFormat="1" ht="16.5" thickBot="1" x14ac:dyDescent="0.25">
      <c r="A920" s="72" t="str">
        <f>IF(F920&lt;&gt;"",1+MAX($A$1:A919),"")</f>
        <v/>
      </c>
      <c r="B920" s="191"/>
      <c r="C920" s="150"/>
      <c r="D920" s="192"/>
      <c r="E920" s="192" t="s">
        <v>685</v>
      </c>
      <c r="F920" s="193"/>
      <c r="G920" s="194"/>
      <c r="H920" s="195"/>
      <c r="I920" s="196"/>
      <c r="J920" s="197"/>
      <c r="K920" s="198"/>
      <c r="L920" s="137"/>
    </row>
    <row r="921" spans="1:13" s="268" customFormat="1" ht="31.5" x14ac:dyDescent="0.2">
      <c r="A921" s="72">
        <f>IF(F921&lt;&gt;"",1+MAX($A$1:A920),"")</f>
        <v>465</v>
      </c>
      <c r="B921" s="2" t="s">
        <v>345</v>
      </c>
      <c r="C921" s="266"/>
      <c r="D921" s="86"/>
      <c r="E921" s="80" t="s">
        <v>686</v>
      </c>
      <c r="F921" s="81">
        <v>1</v>
      </c>
      <c r="G921" s="74">
        <v>0</v>
      </c>
      <c r="H921" s="82">
        <f>F921*(1+G921)</f>
        <v>1</v>
      </c>
      <c r="I921" s="83" t="s">
        <v>18</v>
      </c>
      <c r="J921" s="215">
        <v>0</v>
      </c>
      <c r="K921" s="77">
        <f>J921*H921</f>
        <v>0</v>
      </c>
      <c r="L921" s="78"/>
    </row>
    <row r="922" spans="1:13" s="121" customFormat="1" ht="16.5" thickBot="1" x14ac:dyDescent="0.25">
      <c r="A922" s="72" t="str">
        <f>IF(F922&lt;&gt;"",1+MAX($A$1:A921),"")</f>
        <v/>
      </c>
      <c r="B922" s="200"/>
      <c r="C922" s="201"/>
      <c r="D922" s="2"/>
      <c r="E922" s="1"/>
      <c r="F922" s="202"/>
      <c r="G922" s="203"/>
      <c r="H922" s="202"/>
      <c r="I922" s="204"/>
      <c r="J922" s="205"/>
      <c r="K922" s="206"/>
      <c r="L922" s="207"/>
    </row>
    <row r="923" spans="1:13" s="121" customFormat="1" ht="16.5" thickBot="1" x14ac:dyDescent="0.25">
      <c r="A923" s="72" t="str">
        <f>IF(F923&lt;&gt;"",1+MAX($A$1:A922),"")</f>
        <v/>
      </c>
      <c r="B923" s="200"/>
      <c r="C923" s="201"/>
      <c r="D923" s="201"/>
      <c r="E923" s="35" t="s">
        <v>684</v>
      </c>
      <c r="F923" s="208"/>
      <c r="G923" s="209"/>
      <c r="H923" s="210"/>
      <c r="I923" s="211"/>
      <c r="J923" s="212"/>
      <c r="K923" s="42"/>
      <c r="L923" s="213">
        <f>SUM(K920:K922)</f>
        <v>0</v>
      </c>
    </row>
    <row r="924" spans="1:13" s="121" customFormat="1" ht="16.5" thickBot="1" x14ac:dyDescent="0.25">
      <c r="A924" s="72" t="str">
        <f>IF(F924&lt;&gt;"",1+MAX($A$1:A923),"")</f>
        <v/>
      </c>
      <c r="B924" s="200"/>
      <c r="C924" s="201"/>
      <c r="D924" s="201"/>
      <c r="E924" s="214"/>
      <c r="F924" s="13"/>
      <c r="G924" s="190"/>
      <c r="H924" s="3"/>
      <c r="I924" s="21"/>
      <c r="J924" s="135"/>
      <c r="K924" s="136"/>
      <c r="L924" s="137"/>
    </row>
    <row r="925" spans="1:13" ht="16.5" thickBot="1" x14ac:dyDescent="0.25">
      <c r="A925" s="72" t="str">
        <f>IF(F925&lt;&gt;"",1+MAX($A$1:A924),"")</f>
        <v/>
      </c>
      <c r="B925" s="38"/>
      <c r="C925" s="22"/>
      <c r="D925" s="22" t="s">
        <v>61</v>
      </c>
      <c r="E925" s="34" t="s">
        <v>64</v>
      </c>
      <c r="F925" s="19"/>
      <c r="G925" s="19"/>
      <c r="H925" s="19"/>
      <c r="I925" s="19"/>
      <c r="J925" s="19"/>
      <c r="K925" s="40"/>
      <c r="L925" s="36"/>
    </row>
    <row r="926" spans="1:13" s="121" customFormat="1" ht="16.5" thickBot="1" x14ac:dyDescent="0.25">
      <c r="A926" s="72" t="str">
        <f>IF(F926&lt;&gt;"",1+MAX($A$1:A925),"")</f>
        <v/>
      </c>
      <c r="B926" s="191"/>
      <c r="C926" s="150"/>
      <c r="D926" s="192"/>
      <c r="E926" s="192" t="s">
        <v>62</v>
      </c>
      <c r="F926" s="193"/>
      <c r="G926" s="194"/>
      <c r="H926" s="195"/>
      <c r="I926" s="196"/>
      <c r="J926" s="197"/>
      <c r="K926" s="198"/>
      <c r="L926" s="137"/>
    </row>
    <row r="927" spans="1:13" s="121" customFormat="1" ht="78.75" x14ac:dyDescent="0.2">
      <c r="A927" s="72">
        <f>IF(F927&lt;&gt;"",1+MAX($A$1:A926),"")</f>
        <v>466</v>
      </c>
      <c r="B927" s="2" t="s">
        <v>88</v>
      </c>
      <c r="C927" s="2" t="s">
        <v>1028</v>
      </c>
      <c r="D927" s="199"/>
      <c r="E927" s="143" t="s">
        <v>1036</v>
      </c>
      <c r="F927" s="25">
        <v>8</v>
      </c>
      <c r="G927" s="74">
        <v>0</v>
      </c>
      <c r="H927" s="3">
        <f t="shared" ref="H927:H932" si="255">F927*(1+G927)</f>
        <v>8</v>
      </c>
      <c r="I927" s="21" t="s">
        <v>18</v>
      </c>
      <c r="J927" s="215">
        <v>0</v>
      </c>
      <c r="K927" s="136">
        <f t="shared" ref="K927:K932" si="256">J927*H927</f>
        <v>0</v>
      </c>
      <c r="L927" s="137"/>
    </row>
    <row r="928" spans="1:13" s="121" customFormat="1" ht="78.75" x14ac:dyDescent="0.2">
      <c r="A928" s="72">
        <f>IF(F928&lt;&gt;"",1+MAX($A$1:A927),"")</f>
        <v>467</v>
      </c>
      <c r="B928" s="2" t="s">
        <v>88</v>
      </c>
      <c r="C928" s="2" t="s">
        <v>1028</v>
      </c>
      <c r="D928" s="199"/>
      <c r="E928" s="143" t="s">
        <v>1037</v>
      </c>
      <c r="F928" s="25">
        <v>8</v>
      </c>
      <c r="G928" s="74">
        <v>0</v>
      </c>
      <c r="H928" s="3">
        <f t="shared" si="255"/>
        <v>8</v>
      </c>
      <c r="I928" s="21" t="s">
        <v>18</v>
      </c>
      <c r="J928" s="215">
        <v>0</v>
      </c>
      <c r="K928" s="136">
        <f t="shared" si="256"/>
        <v>0</v>
      </c>
      <c r="L928" s="137"/>
      <c r="M928" s="692"/>
    </row>
    <row r="929" spans="1:13" s="121" customFormat="1" ht="110.25" x14ac:dyDescent="0.2">
      <c r="A929" s="72">
        <f>IF(F929&lt;&gt;"",1+MAX($A$1:A928),"")</f>
        <v>468</v>
      </c>
      <c r="B929" s="2" t="s">
        <v>88</v>
      </c>
      <c r="C929" s="2" t="s">
        <v>1028</v>
      </c>
      <c r="D929" s="199"/>
      <c r="E929" s="143" t="s">
        <v>1039</v>
      </c>
      <c r="F929" s="25">
        <v>8</v>
      </c>
      <c r="G929" s="74">
        <v>0</v>
      </c>
      <c r="H929" s="3">
        <f t="shared" si="255"/>
        <v>8</v>
      </c>
      <c r="I929" s="21" t="s">
        <v>18</v>
      </c>
      <c r="J929" s="215">
        <v>0</v>
      </c>
      <c r="K929" s="136">
        <f t="shared" si="256"/>
        <v>0</v>
      </c>
      <c r="L929" s="137"/>
      <c r="M929" s="692"/>
    </row>
    <row r="930" spans="1:13" s="121" customFormat="1" ht="78.75" x14ac:dyDescent="0.2">
      <c r="A930" s="72">
        <f>IF(F930&lt;&gt;"",1+MAX($A$1:A929),"")</f>
        <v>469</v>
      </c>
      <c r="B930" s="2" t="s">
        <v>88</v>
      </c>
      <c r="C930" s="2" t="s">
        <v>1028</v>
      </c>
      <c r="D930" s="199"/>
      <c r="E930" s="143" t="s">
        <v>1038</v>
      </c>
      <c r="F930" s="25">
        <v>8</v>
      </c>
      <c r="G930" s="74">
        <v>0</v>
      </c>
      <c r="H930" s="3">
        <f t="shared" si="255"/>
        <v>8</v>
      </c>
      <c r="I930" s="21" t="s">
        <v>18</v>
      </c>
      <c r="J930" s="215">
        <v>0</v>
      </c>
      <c r="K930" s="136">
        <f t="shared" si="256"/>
        <v>0</v>
      </c>
      <c r="L930" s="137"/>
    </row>
    <row r="931" spans="1:13" s="121" customFormat="1" ht="110.25" x14ac:dyDescent="0.2">
      <c r="A931" s="72">
        <f>IF(F931&lt;&gt;"",1+MAX($A$1:A930),"")</f>
        <v>470</v>
      </c>
      <c r="B931" s="2" t="s">
        <v>88</v>
      </c>
      <c r="C931" s="2" t="s">
        <v>1028</v>
      </c>
      <c r="D931" s="199"/>
      <c r="E931" s="143" t="s">
        <v>1040</v>
      </c>
      <c r="F931" s="25">
        <v>8</v>
      </c>
      <c r="G931" s="74">
        <v>0</v>
      </c>
      <c r="H931" s="3">
        <f t="shared" ref="H931" si="257">F931*(1+G931)</f>
        <v>8</v>
      </c>
      <c r="I931" s="21" t="s">
        <v>18</v>
      </c>
      <c r="J931" s="215">
        <v>0</v>
      </c>
      <c r="K931" s="136">
        <f t="shared" ref="K931" si="258">J931*H931</f>
        <v>0</v>
      </c>
      <c r="L931" s="137"/>
    </row>
    <row r="932" spans="1:13" s="121" customFormat="1" ht="78.75" x14ac:dyDescent="0.2">
      <c r="A932" s="72">
        <f>IF(F932&lt;&gt;"",1+MAX($A$1:A931),"")</f>
        <v>471</v>
      </c>
      <c r="B932" s="2" t="s">
        <v>88</v>
      </c>
      <c r="C932" s="2" t="s">
        <v>1028</v>
      </c>
      <c r="D932" s="199"/>
      <c r="E932" s="143" t="s">
        <v>1041</v>
      </c>
      <c r="F932" s="25">
        <v>8</v>
      </c>
      <c r="G932" s="74">
        <v>0</v>
      </c>
      <c r="H932" s="3">
        <f t="shared" si="255"/>
        <v>8</v>
      </c>
      <c r="I932" s="21" t="s">
        <v>18</v>
      </c>
      <c r="J932" s="215">
        <v>0</v>
      </c>
      <c r="K932" s="136">
        <f t="shared" si="256"/>
        <v>0</v>
      </c>
      <c r="L932" s="137"/>
    </row>
    <row r="933" spans="1:13" s="121" customFormat="1" ht="16.5" thickBot="1" x14ac:dyDescent="0.25">
      <c r="A933" s="72" t="str">
        <f>IF(F933&lt;&gt;"",1+MAX($A$1:A932),"")</f>
        <v/>
      </c>
      <c r="B933" s="200"/>
      <c r="C933" s="201"/>
      <c r="D933" s="2"/>
      <c r="E933" s="1"/>
      <c r="F933" s="202"/>
      <c r="G933" s="203"/>
      <c r="H933" s="202"/>
      <c r="I933" s="204"/>
      <c r="J933" s="205"/>
      <c r="K933" s="206"/>
      <c r="L933" s="207"/>
    </row>
    <row r="934" spans="1:13" s="121" customFormat="1" ht="16.5" thickBot="1" x14ac:dyDescent="0.25">
      <c r="A934" s="72" t="str">
        <f>IF(F934&lt;&gt;"",1+MAX($A$1:A933),"")</f>
        <v/>
      </c>
      <c r="B934" s="200"/>
      <c r="C934" s="201"/>
      <c r="D934" s="201"/>
      <c r="E934" s="35" t="s">
        <v>63</v>
      </c>
      <c r="F934" s="208"/>
      <c r="G934" s="209"/>
      <c r="H934" s="210"/>
      <c r="I934" s="211"/>
      <c r="J934" s="212"/>
      <c r="K934" s="42"/>
      <c r="L934" s="213">
        <f>SUM(K926:K933)</f>
        <v>0</v>
      </c>
    </row>
    <row r="935" spans="1:13" s="121" customFormat="1" ht="16.5" thickBot="1" x14ac:dyDescent="0.25">
      <c r="A935" s="72" t="str">
        <f>IF(F935&lt;&gt;"",1+MAX($A$1:A934),"")</f>
        <v/>
      </c>
      <c r="B935" s="200"/>
      <c r="C935" s="201"/>
      <c r="D935" s="201"/>
      <c r="E935" s="214"/>
      <c r="F935" s="13"/>
      <c r="G935" s="190"/>
      <c r="H935" s="3"/>
      <c r="I935" s="21"/>
      <c r="J935" s="135"/>
      <c r="K935" s="136"/>
      <c r="L935" s="137"/>
    </row>
    <row r="936" spans="1:13" ht="16.5" thickBot="1" x14ac:dyDescent="0.25">
      <c r="A936" s="72" t="str">
        <f>IF(F936&lt;&gt;"",1+MAX($A$1:A935),"")</f>
        <v/>
      </c>
      <c r="B936" s="38"/>
      <c r="C936" s="22"/>
      <c r="D936" s="22" t="s">
        <v>69</v>
      </c>
      <c r="E936" s="34" t="s">
        <v>70</v>
      </c>
      <c r="F936" s="19"/>
      <c r="G936" s="19"/>
      <c r="H936" s="19"/>
      <c r="I936" s="19"/>
      <c r="J936" s="19"/>
      <c r="K936" s="40"/>
      <c r="L936" s="36"/>
    </row>
    <row r="937" spans="1:13" s="121" customFormat="1" ht="16.5" thickBot="1" x14ac:dyDescent="0.25">
      <c r="A937" s="72" t="str">
        <f>IF(F937&lt;&gt;"",1+MAX($A$1:A936),"")</f>
        <v/>
      </c>
      <c r="B937" s="191"/>
      <c r="C937" s="150"/>
      <c r="D937" s="192"/>
      <c r="E937" s="192" t="s">
        <v>82</v>
      </c>
      <c r="F937" s="193"/>
      <c r="G937" s="194"/>
      <c r="H937" s="195"/>
      <c r="I937" s="196"/>
      <c r="J937" s="197"/>
      <c r="K937" s="198"/>
      <c r="L937" s="137"/>
    </row>
    <row r="938" spans="1:13" s="121" customFormat="1" x14ac:dyDescent="0.2">
      <c r="A938" s="72" t="str">
        <f>IF(F938&lt;&gt;"",1+MAX($A$1:A937),"")</f>
        <v/>
      </c>
      <c r="B938" s="241"/>
      <c r="C938" s="2"/>
      <c r="D938" s="145"/>
      <c r="E938" s="242" t="s">
        <v>71</v>
      </c>
      <c r="F938" s="25"/>
      <c r="G938" s="74"/>
      <c r="H938" s="3"/>
      <c r="I938" s="21"/>
      <c r="J938" s="240"/>
      <c r="K938" s="136"/>
      <c r="L938" s="137"/>
    </row>
    <row r="939" spans="1:13" s="121" customFormat="1" ht="31.5" x14ac:dyDescent="0.2">
      <c r="A939" s="72">
        <f>IF(F939&lt;&gt;"",1+MAX($A$1:A938),"")</f>
        <v>472</v>
      </c>
      <c r="B939" s="2" t="s">
        <v>88</v>
      </c>
      <c r="C939" s="2"/>
      <c r="D939" s="199"/>
      <c r="E939" s="143" t="s">
        <v>84</v>
      </c>
      <c r="F939" s="25">
        <f>294+123.8*0.334</f>
        <v>335.3492</v>
      </c>
      <c r="G939" s="74">
        <v>0.1</v>
      </c>
      <c r="H939" s="3">
        <f t="shared" ref="H939:H940" si="259">F939*(1+G939)</f>
        <v>368.88412000000005</v>
      </c>
      <c r="I939" s="21" t="s">
        <v>16</v>
      </c>
      <c r="J939" s="144">
        <v>0</v>
      </c>
      <c r="K939" s="136">
        <f t="shared" ref="K939:K940" si="260">J939*H939</f>
        <v>0</v>
      </c>
      <c r="L939" s="137"/>
    </row>
    <row r="940" spans="1:13" s="121" customFormat="1" ht="31.5" x14ac:dyDescent="0.2">
      <c r="A940" s="72">
        <f>IF(F940&lt;&gt;"",1+MAX($A$1:A939),"")</f>
        <v>473</v>
      </c>
      <c r="B940" s="2" t="s">
        <v>88</v>
      </c>
      <c r="C940" s="2"/>
      <c r="D940" s="199"/>
      <c r="E940" s="143" t="s">
        <v>85</v>
      </c>
      <c r="F940" s="25">
        <f>57+32.8*0.334</f>
        <v>67.955200000000005</v>
      </c>
      <c r="G940" s="74">
        <v>0.1</v>
      </c>
      <c r="H940" s="3">
        <f t="shared" si="259"/>
        <v>74.750720000000015</v>
      </c>
      <c r="I940" s="21" t="s">
        <v>16</v>
      </c>
      <c r="J940" s="470">
        <f>J$939</f>
        <v>0</v>
      </c>
      <c r="K940" s="136">
        <f t="shared" si="260"/>
        <v>0</v>
      </c>
      <c r="L940" s="137"/>
    </row>
    <row r="941" spans="1:13" s="121" customFormat="1" x14ac:dyDescent="0.2">
      <c r="A941" s="72" t="str">
        <f>IF(F941&lt;&gt;"",1+MAX($A$1:A940),"")</f>
        <v/>
      </c>
      <c r="B941" s="241"/>
      <c r="C941" s="2"/>
      <c r="D941" s="145"/>
      <c r="E941" s="242" t="s">
        <v>74</v>
      </c>
      <c r="F941" s="25"/>
      <c r="G941" s="74"/>
      <c r="H941" s="3"/>
      <c r="I941" s="21"/>
      <c r="J941" s="240"/>
      <c r="K941" s="136"/>
      <c r="L941" s="137"/>
    </row>
    <row r="942" spans="1:13" s="121" customFormat="1" x14ac:dyDescent="0.2">
      <c r="A942" s="72">
        <f>IF(F942&lt;&gt;"",1+MAX($A$1:A941),"")</f>
        <v>474</v>
      </c>
      <c r="B942" s="2" t="s">
        <v>88</v>
      </c>
      <c r="C942" s="2"/>
      <c r="D942" s="145"/>
      <c r="E942" s="143" t="s">
        <v>75</v>
      </c>
      <c r="F942" s="25">
        <f>123.8</f>
        <v>123.8</v>
      </c>
      <c r="G942" s="74">
        <v>0.1</v>
      </c>
      <c r="H942" s="3">
        <f t="shared" ref="H942:H943" si="261">F942*(1+G942)</f>
        <v>136.18</v>
      </c>
      <c r="I942" s="21" t="s">
        <v>13</v>
      </c>
      <c r="J942" s="144">
        <v>0</v>
      </c>
      <c r="K942" s="136">
        <f t="shared" ref="K942:K943" si="262">J942*H942</f>
        <v>0</v>
      </c>
      <c r="L942" s="137"/>
    </row>
    <row r="943" spans="1:13" s="121" customFormat="1" x14ac:dyDescent="0.2">
      <c r="A943" s="72">
        <f>IF(F943&lt;&gt;"",1+MAX($A$1:A942),"")</f>
        <v>475</v>
      </c>
      <c r="B943" s="2" t="s">
        <v>88</v>
      </c>
      <c r="C943" s="2"/>
      <c r="D943" s="145"/>
      <c r="E943" s="143" t="s">
        <v>76</v>
      </c>
      <c r="F943" s="25">
        <f>105.5</f>
        <v>105.5</v>
      </c>
      <c r="G943" s="74">
        <v>0.1</v>
      </c>
      <c r="H943" s="3">
        <f t="shared" si="261"/>
        <v>116.05000000000001</v>
      </c>
      <c r="I943" s="21" t="s">
        <v>13</v>
      </c>
      <c r="J943" s="144">
        <v>0</v>
      </c>
      <c r="K943" s="136">
        <f t="shared" si="262"/>
        <v>0</v>
      </c>
      <c r="L943" s="137"/>
    </row>
    <row r="944" spans="1:13" s="121" customFormat="1" x14ac:dyDescent="0.2">
      <c r="A944" s="72" t="str">
        <f>IF(F944&lt;&gt;"",1+MAX($A$1:A943),"")</f>
        <v/>
      </c>
      <c r="B944" s="241"/>
      <c r="C944" s="2"/>
      <c r="D944" s="145"/>
      <c r="E944" s="242" t="s">
        <v>87</v>
      </c>
      <c r="F944" s="25"/>
      <c r="G944" s="74"/>
      <c r="H944" s="3"/>
      <c r="I944" s="21"/>
      <c r="J944" s="240"/>
      <c r="K944" s="136"/>
      <c r="L944" s="137"/>
    </row>
    <row r="945" spans="1:12" s="121" customFormat="1" x14ac:dyDescent="0.2">
      <c r="A945" s="72">
        <f>IF(F945&lt;&gt;"",1+MAX($A$1:A944),"")</f>
        <v>476</v>
      </c>
      <c r="B945" s="2" t="s">
        <v>88</v>
      </c>
      <c r="C945" s="2"/>
      <c r="D945" s="145"/>
      <c r="E945" s="143" t="s">
        <v>86</v>
      </c>
      <c r="F945" s="25">
        <f>32.8</f>
        <v>32.799999999999997</v>
      </c>
      <c r="G945" s="74">
        <v>0.1</v>
      </c>
      <c r="H945" s="3">
        <f t="shared" ref="H945" si="263">F945*(1+G945)</f>
        <v>36.08</v>
      </c>
      <c r="I945" s="21" t="s">
        <v>13</v>
      </c>
      <c r="J945" s="144">
        <v>0</v>
      </c>
      <c r="K945" s="136">
        <f t="shared" ref="K945" si="264">J945*H945</f>
        <v>0</v>
      </c>
      <c r="L945" s="137"/>
    </row>
    <row r="946" spans="1:12" s="121" customFormat="1" x14ac:dyDescent="0.2">
      <c r="A946" s="72" t="str">
        <f>IF(F946&lt;&gt;"",1+MAX($A$1:A945),"")</f>
        <v/>
      </c>
      <c r="B946" s="241"/>
      <c r="C946" s="2"/>
      <c r="D946" s="145"/>
      <c r="E946" s="242" t="s">
        <v>80</v>
      </c>
      <c r="F946" s="25"/>
      <c r="G946" s="74"/>
      <c r="H946" s="3"/>
      <c r="I946" s="21"/>
      <c r="J946" s="240"/>
      <c r="K946" s="136"/>
      <c r="L946" s="137"/>
    </row>
    <row r="947" spans="1:12" s="121" customFormat="1" x14ac:dyDescent="0.2">
      <c r="A947" s="72">
        <f>IF(F947&lt;&gt;"",1+MAX($A$1:A946),"")</f>
        <v>477</v>
      </c>
      <c r="B947" s="2" t="s">
        <v>88</v>
      </c>
      <c r="C947" s="2"/>
      <c r="D947" s="145"/>
      <c r="E947" s="143" t="s">
        <v>77</v>
      </c>
      <c r="F947" s="25">
        <f>71.2</f>
        <v>71.2</v>
      </c>
      <c r="G947" s="74">
        <v>0.1</v>
      </c>
      <c r="H947" s="3">
        <f t="shared" ref="H947:H948" si="265">F947*(1+G947)</f>
        <v>78.320000000000007</v>
      </c>
      <c r="I947" s="21" t="s">
        <v>13</v>
      </c>
      <c r="J947" s="144">
        <v>0</v>
      </c>
      <c r="K947" s="136">
        <f t="shared" ref="K947:K948" si="266">J947*H947</f>
        <v>0</v>
      </c>
      <c r="L947" s="137"/>
    </row>
    <row r="948" spans="1:12" s="121" customFormat="1" x14ac:dyDescent="0.2">
      <c r="A948" s="72">
        <f>IF(F948&lt;&gt;"",1+MAX($A$1:A947),"")</f>
        <v>478</v>
      </c>
      <c r="B948" s="2" t="s">
        <v>88</v>
      </c>
      <c r="C948" s="2"/>
      <c r="D948" s="145"/>
      <c r="E948" s="143" t="s">
        <v>81</v>
      </c>
      <c r="F948" s="25">
        <f>112</f>
        <v>112</v>
      </c>
      <c r="G948" s="74">
        <v>0.1</v>
      </c>
      <c r="H948" s="3">
        <f t="shared" si="265"/>
        <v>123.20000000000002</v>
      </c>
      <c r="I948" s="21" t="s">
        <v>13</v>
      </c>
      <c r="J948" s="144">
        <v>0</v>
      </c>
      <c r="K948" s="136">
        <f t="shared" si="266"/>
        <v>0</v>
      </c>
      <c r="L948" s="137"/>
    </row>
    <row r="949" spans="1:12" s="121" customFormat="1" x14ac:dyDescent="0.2">
      <c r="A949" s="72">
        <f>IF(F949&lt;&gt;"",1+MAX($A$1:A948),"")</f>
        <v>479</v>
      </c>
      <c r="B949" s="2" t="s">
        <v>88</v>
      </c>
      <c r="C949" s="2"/>
      <c r="D949" s="145"/>
      <c r="E949" s="278" t="s">
        <v>687</v>
      </c>
      <c r="F949" s="13">
        <f>3.7*5</f>
        <v>18.5</v>
      </c>
      <c r="G949" s="74">
        <v>0.1</v>
      </c>
      <c r="H949" s="3">
        <f t="shared" ref="H949" si="267">F949*(1+G949)</f>
        <v>20.350000000000001</v>
      </c>
      <c r="I949" s="21" t="s">
        <v>13</v>
      </c>
      <c r="J949" s="144">
        <v>0</v>
      </c>
      <c r="K949" s="136">
        <f t="shared" ref="K949" si="268">J949*H949</f>
        <v>0</v>
      </c>
      <c r="L949" s="137"/>
    </row>
    <row r="950" spans="1:12" s="121" customFormat="1" ht="16.5" thickBot="1" x14ac:dyDescent="0.25">
      <c r="A950" s="72" t="str">
        <f>IF(F950&lt;&gt;"",1+MAX($A$1:A949),"")</f>
        <v/>
      </c>
      <c r="B950" s="200"/>
      <c r="C950" s="201"/>
      <c r="D950" s="2"/>
      <c r="E950" s="1"/>
      <c r="F950" s="202"/>
      <c r="G950" s="203"/>
      <c r="H950" s="202"/>
      <c r="I950" s="204"/>
      <c r="J950" s="205"/>
      <c r="K950" s="206"/>
      <c r="L950" s="207"/>
    </row>
    <row r="951" spans="1:12" s="121" customFormat="1" ht="16.5" thickBot="1" x14ac:dyDescent="0.25">
      <c r="A951" s="72" t="str">
        <f>IF(F951&lt;&gt;"",1+MAX($A$1:A950),"")</f>
        <v/>
      </c>
      <c r="B951" s="200"/>
      <c r="C951" s="201"/>
      <c r="D951" s="201"/>
      <c r="E951" s="35" t="s">
        <v>83</v>
      </c>
      <c r="F951" s="208"/>
      <c r="G951" s="209"/>
      <c r="H951" s="210"/>
      <c r="I951" s="211"/>
      <c r="J951" s="212"/>
      <c r="K951" s="42"/>
      <c r="L951" s="213">
        <f>SUM(K937:K950)</f>
        <v>0</v>
      </c>
    </row>
    <row r="952" spans="1:12" s="121" customFormat="1" ht="16.5" thickBot="1" x14ac:dyDescent="0.25">
      <c r="A952" s="72" t="str">
        <f>IF(F952&lt;&gt;"",1+MAX($A$1:A951),"")</f>
        <v/>
      </c>
      <c r="B952" s="200"/>
      <c r="C952" s="201"/>
      <c r="D952" s="201"/>
      <c r="E952" s="214"/>
      <c r="F952" s="13"/>
      <c r="G952" s="190"/>
      <c r="H952" s="3"/>
      <c r="I952" s="21"/>
      <c r="J952" s="135"/>
      <c r="K952" s="136"/>
      <c r="L952" s="137"/>
    </row>
    <row r="953" spans="1:12" ht="16.5" thickBot="1" x14ac:dyDescent="0.25">
      <c r="A953" s="72" t="str">
        <f>IF(F953&lt;&gt;"",1+MAX($A$1:A952),"")</f>
        <v/>
      </c>
      <c r="B953" s="38"/>
      <c r="C953" s="22"/>
      <c r="D953" s="22" t="s">
        <v>656</v>
      </c>
      <c r="E953" s="34" t="s">
        <v>657</v>
      </c>
      <c r="F953" s="19"/>
      <c r="G953" s="19"/>
      <c r="H953" s="19"/>
      <c r="I953" s="19"/>
      <c r="J953" s="19"/>
      <c r="K953" s="40"/>
      <c r="L953" s="36"/>
    </row>
    <row r="954" spans="1:12" s="121" customFormat="1" ht="16.5" thickBot="1" x14ac:dyDescent="0.25">
      <c r="A954" s="72" t="str">
        <f>IF(F954&lt;&gt;"",1+MAX($A$1:A953),"")</f>
        <v/>
      </c>
      <c r="B954" s="191"/>
      <c r="C954" s="150"/>
      <c r="D954" s="192"/>
      <c r="E954" s="192" t="s">
        <v>655</v>
      </c>
      <c r="F954" s="193"/>
      <c r="G954" s="194"/>
      <c r="H954" s="195"/>
      <c r="I954" s="196"/>
      <c r="J954" s="197"/>
      <c r="K954" s="198"/>
      <c r="L954" s="137"/>
    </row>
    <row r="955" spans="1:12" s="121" customFormat="1" ht="283.5" x14ac:dyDescent="0.2">
      <c r="A955" s="72">
        <f>IF(F955&lt;&gt;"",1+MAX($A$1:A954),"")</f>
        <v>480</v>
      </c>
      <c r="B955" s="2" t="s">
        <v>88</v>
      </c>
      <c r="C955" s="2"/>
      <c r="D955" s="199"/>
      <c r="E955" s="143" t="s">
        <v>659</v>
      </c>
      <c r="F955" s="25">
        <v>1</v>
      </c>
      <c r="G955" s="74">
        <v>0</v>
      </c>
      <c r="H955" s="3">
        <f t="shared" ref="H955" si="269">F955*(1+G955)</f>
        <v>1</v>
      </c>
      <c r="I955" s="21" t="s">
        <v>18</v>
      </c>
      <c r="J955" s="215">
        <v>0</v>
      </c>
      <c r="K955" s="136">
        <f t="shared" ref="K955" si="270">J955*H955</f>
        <v>0</v>
      </c>
      <c r="L955" s="137"/>
    </row>
    <row r="956" spans="1:12" s="121" customFormat="1" ht="16.5" thickBot="1" x14ac:dyDescent="0.25">
      <c r="A956" s="72" t="str">
        <f>IF(F956&lt;&gt;"",1+MAX($A$1:A955),"")</f>
        <v/>
      </c>
      <c r="B956" s="200"/>
      <c r="C956" s="201"/>
      <c r="D956" s="2"/>
      <c r="E956" s="1"/>
      <c r="F956" s="202"/>
      <c r="G956" s="203"/>
      <c r="H956" s="202"/>
      <c r="I956" s="204"/>
      <c r="J956" s="205"/>
      <c r="K956" s="206"/>
      <c r="L956" s="207"/>
    </row>
    <row r="957" spans="1:12" s="121" customFormat="1" ht="16.5" thickBot="1" x14ac:dyDescent="0.25">
      <c r="A957" s="72" t="str">
        <f>IF(F957&lt;&gt;"",1+MAX($A$1:A956),"")</f>
        <v/>
      </c>
      <c r="B957" s="200"/>
      <c r="C957" s="201"/>
      <c r="D957" s="201"/>
      <c r="E957" s="35" t="s">
        <v>658</v>
      </c>
      <c r="F957" s="208"/>
      <c r="G957" s="209"/>
      <c r="H957" s="210"/>
      <c r="I957" s="211"/>
      <c r="J957" s="212"/>
      <c r="K957" s="42"/>
      <c r="L957" s="213">
        <f>SUM(K954:K956)</f>
        <v>0</v>
      </c>
    </row>
    <row r="958" spans="1:12" s="121" customFormat="1" ht="16.5" thickBot="1" x14ac:dyDescent="0.25">
      <c r="A958" s="72" t="str">
        <f>IF(F958&lt;&gt;"",1+MAX($A$1:A957),"")</f>
        <v/>
      </c>
      <c r="B958" s="200"/>
      <c r="C958" s="201"/>
      <c r="D958" s="201"/>
      <c r="E958" s="214"/>
      <c r="F958" s="13"/>
      <c r="G958" s="190"/>
      <c r="H958" s="3"/>
      <c r="I958" s="21"/>
      <c r="J958" s="135"/>
      <c r="K958" s="136"/>
      <c r="L958" s="137"/>
    </row>
    <row r="959" spans="1:12" s="121" customFormat="1" ht="16.5" thickBot="1" x14ac:dyDescent="0.25">
      <c r="A959" s="72" t="str">
        <f>IF(F959&lt;&gt;"",1+MAX($A$1:A958),"")</f>
        <v/>
      </c>
      <c r="B959" s="191"/>
      <c r="C959" s="150"/>
      <c r="D959" s="192"/>
      <c r="E959" s="192" t="s">
        <v>1018</v>
      </c>
      <c r="F959" s="193"/>
      <c r="G959" s="194"/>
      <c r="H959" s="195"/>
      <c r="I959" s="196"/>
      <c r="J959" s="197"/>
      <c r="K959" s="198"/>
      <c r="L959" s="137"/>
    </row>
    <row r="960" spans="1:12" s="121" customFormat="1" ht="31.5" x14ac:dyDescent="0.2">
      <c r="A960" s="72">
        <f>IF(F960&lt;&gt;"",1+MAX($A$1:A959),"")</f>
        <v>481</v>
      </c>
      <c r="B960" s="2" t="s">
        <v>88</v>
      </c>
      <c r="C960" s="2"/>
      <c r="D960" s="199"/>
      <c r="E960" s="691" t="s">
        <v>1021</v>
      </c>
      <c r="F960" s="25">
        <v>3</v>
      </c>
      <c r="G960" s="74">
        <v>0</v>
      </c>
      <c r="H960" s="3">
        <f t="shared" ref="H960" si="271">F960*(1+G960)</f>
        <v>3</v>
      </c>
      <c r="I960" s="21" t="s">
        <v>18</v>
      </c>
      <c r="J960" s="215">
        <v>0</v>
      </c>
      <c r="K960" s="136">
        <f t="shared" ref="K960" si="272">J960*H960</f>
        <v>0</v>
      </c>
      <c r="L960" s="137"/>
    </row>
    <row r="961" spans="1:12" s="121" customFormat="1" ht="16.5" thickBot="1" x14ac:dyDescent="0.25">
      <c r="A961" s="72" t="str">
        <f>IF(F961&lt;&gt;"",1+MAX($A$1:A960),"")</f>
        <v/>
      </c>
      <c r="B961" s="200"/>
      <c r="C961" s="201"/>
      <c r="D961" s="2"/>
      <c r="E961" s="1"/>
      <c r="F961" s="202"/>
      <c r="G961" s="203"/>
      <c r="H961" s="202"/>
      <c r="I961" s="204"/>
      <c r="J961" s="205"/>
      <c r="K961" s="206"/>
      <c r="L961" s="207"/>
    </row>
    <row r="962" spans="1:12" s="121" customFormat="1" ht="16.5" thickBot="1" x14ac:dyDescent="0.25">
      <c r="A962" s="72" t="str">
        <f>IF(F962&lt;&gt;"",1+MAX($A$1:A961),"")</f>
        <v/>
      </c>
      <c r="B962" s="200"/>
      <c r="C962" s="201"/>
      <c r="D962" s="201"/>
      <c r="E962" s="35" t="s">
        <v>1020</v>
      </c>
      <c r="F962" s="208"/>
      <c r="G962" s="209"/>
      <c r="H962" s="210"/>
      <c r="I962" s="211"/>
      <c r="J962" s="212"/>
      <c r="K962" s="42"/>
      <c r="L962" s="213">
        <f>SUM(K959:K961)</f>
        <v>0</v>
      </c>
    </row>
    <row r="963" spans="1:12" s="121" customFormat="1" ht="16.5" thickBot="1" x14ac:dyDescent="0.25">
      <c r="A963" s="72" t="str">
        <f>IF(F963&lt;&gt;"",1+MAX($A$1:A962),"")</f>
        <v/>
      </c>
      <c r="B963" s="200"/>
      <c r="C963" s="201"/>
      <c r="D963" s="201"/>
      <c r="E963" s="214"/>
      <c r="F963" s="13"/>
      <c r="G963" s="190"/>
      <c r="H963" s="3"/>
      <c r="I963" s="21"/>
      <c r="J963" s="135"/>
      <c r="K963" s="136"/>
      <c r="L963" s="137"/>
    </row>
    <row r="964" spans="1:12" ht="16.5" thickBot="1" x14ac:dyDescent="0.25">
      <c r="A964" s="58" t="s">
        <v>12</v>
      </c>
      <c r="B964" s="59"/>
      <c r="C964" s="60"/>
      <c r="D964" s="60"/>
      <c r="E964" s="61"/>
      <c r="F964" s="62"/>
      <c r="G964" s="63"/>
      <c r="H964" s="63"/>
      <c r="I964" s="64"/>
      <c r="J964" s="168"/>
      <c r="K964" s="171">
        <f>(SUM(K6:K963))/1</f>
        <v>0</v>
      </c>
      <c r="L964" s="169">
        <f>SUM(L6:L963)</f>
        <v>0</v>
      </c>
    </row>
    <row r="965" spans="1:12" ht="16.5" thickBot="1" x14ac:dyDescent="0.25">
      <c r="A965" s="176" t="s">
        <v>34</v>
      </c>
      <c r="B965" s="177"/>
      <c r="C965" s="178"/>
      <c r="D965" s="178"/>
      <c r="E965" s="179"/>
      <c r="F965" s="180"/>
      <c r="G965" s="181"/>
      <c r="H965" s="181"/>
      <c r="I965" s="182"/>
      <c r="J965" s="185">
        <v>0.2</v>
      </c>
      <c r="K965" s="183">
        <f>J965*K964</f>
        <v>0</v>
      </c>
      <c r="L965" s="184">
        <f>L964*J965</f>
        <v>0</v>
      </c>
    </row>
    <row r="966" spans="1:12" ht="16.5" thickBot="1" x14ac:dyDescent="0.25">
      <c r="A966" s="172" t="s">
        <v>35</v>
      </c>
      <c r="B966" s="52"/>
      <c r="C966" s="53"/>
      <c r="D966" s="53"/>
      <c r="E966" s="54"/>
      <c r="F966" s="55"/>
      <c r="G966" s="56"/>
      <c r="H966" s="57"/>
      <c r="I966" s="53"/>
      <c r="J966" s="170"/>
      <c r="K966" s="173">
        <f>SUM(K964:K965)</f>
        <v>0</v>
      </c>
      <c r="L966" s="174">
        <f>SUM(L964:L965)</f>
        <v>0</v>
      </c>
    </row>
  </sheetData>
  <pageMargins left="0.25" right="0.25" top="0.75" bottom="0.75" header="0.3" footer="0.3"/>
  <pageSetup scale="72" fitToHeight="0" orientation="landscape" r:id="rId1"/>
  <headerFooter>
    <oddFooter>&amp;C&amp;P of &amp;N</oddFooter>
  </headerFooter>
  <ignoredErrors>
    <ignoredError sqref="E481:E482 H967:L967 K797:L797 K798 K799:L799 H797:I799 K4:L4 K5:L5 F2:L3 G779:I779 G481:K482 F6:G6 H6:I6 K6:L6 H780:I780 H785:I785 H965:L966 F1:K1 H964:J964 L964 K779:L785 F282 F311:F315 F267:F268 F279:F280 F291:F296 F301:F302 F264:F265 F270:F271 F273:F274 F285:F289 F308:F309 F276:F27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69"/>
  <sheetViews>
    <sheetView view="pageBreakPreview" zoomScale="90" zoomScaleNormal="90" zoomScaleSheetLayoutView="90" workbookViewId="0">
      <pane ySplit="5" topLeftCell="A6" activePane="bottomLeft" state="frozen"/>
      <selection pane="bottomLeft" activeCell="A6" sqref="A6"/>
    </sheetView>
  </sheetViews>
  <sheetFormatPr defaultRowHeight="15.75" x14ac:dyDescent="0.25"/>
  <cols>
    <col min="1" max="1" width="14.5546875" style="456" customWidth="1"/>
    <col min="2" max="2" width="34.44140625" style="456" customWidth="1"/>
    <col min="3" max="3" width="8.88671875" style="456"/>
    <col min="4" max="4" width="6.6640625" style="457" customWidth="1"/>
    <col min="5" max="5" width="9.6640625" style="456" customWidth="1"/>
    <col min="6" max="6" width="9.109375" style="456" customWidth="1"/>
    <col min="7" max="7" width="12.109375" style="456" customWidth="1"/>
    <col min="8" max="8" width="13.6640625" style="456" customWidth="1"/>
    <col min="9" max="9" width="13.109375" style="456" customWidth="1"/>
    <col min="10" max="10" width="31.21875" style="317" customWidth="1"/>
    <col min="11" max="16384" width="8.88671875" style="251"/>
  </cols>
  <sheetData>
    <row r="1" spans="1:10" ht="16.5" thickBot="1" x14ac:dyDescent="0.3">
      <c r="A1" s="298" t="s">
        <v>6</v>
      </c>
      <c r="B1" s="471"/>
      <c r="C1" s="299"/>
      <c r="D1" s="299"/>
      <c r="E1" s="300"/>
      <c r="F1" s="294"/>
      <c r="G1" s="294"/>
      <c r="H1" s="294"/>
      <c r="I1" s="294"/>
      <c r="J1" s="168"/>
    </row>
    <row r="2" spans="1:10" x14ac:dyDescent="0.25">
      <c r="A2" s="301" t="s">
        <v>7</v>
      </c>
      <c r="B2" s="473"/>
      <c r="C2" s="160"/>
      <c r="D2" s="160"/>
      <c r="E2" s="161"/>
      <c r="F2" s="302"/>
      <c r="G2" s="161"/>
      <c r="H2" s="302"/>
      <c r="I2" s="302"/>
      <c r="J2" s="303"/>
    </row>
    <row r="3" spans="1:10" x14ac:dyDescent="0.25">
      <c r="A3" s="304" t="s">
        <v>8</v>
      </c>
      <c r="B3" s="472">
        <v>45042</v>
      </c>
      <c r="C3" s="23"/>
      <c r="D3" s="23"/>
      <c r="E3" s="297"/>
      <c r="F3" s="305"/>
      <c r="G3" s="43"/>
      <c r="H3" s="71"/>
      <c r="I3" s="16"/>
      <c r="J3" s="295"/>
    </row>
    <row r="4" spans="1:10" ht="16.5" thickBot="1" x14ac:dyDescent="0.3">
      <c r="A4" s="304" t="s">
        <v>9</v>
      </c>
      <c r="B4" s="472">
        <v>44790</v>
      </c>
      <c r="C4" s="23"/>
      <c r="D4" s="23"/>
      <c r="E4" s="43"/>
      <c r="F4" s="305"/>
      <c r="G4" s="43"/>
      <c r="H4" s="71"/>
      <c r="I4" s="43"/>
      <c r="J4" s="295"/>
    </row>
    <row r="5" spans="1:10" ht="32.25" thickBot="1" x14ac:dyDescent="0.3">
      <c r="A5" s="291" t="s">
        <v>172</v>
      </c>
      <c r="B5" s="292" t="s">
        <v>173</v>
      </c>
      <c r="C5" s="292" t="s">
        <v>38</v>
      </c>
      <c r="D5" s="292" t="s">
        <v>174</v>
      </c>
      <c r="E5" s="292" t="s">
        <v>175</v>
      </c>
      <c r="F5" s="292" t="s">
        <v>176</v>
      </c>
      <c r="G5" s="292" t="s">
        <v>177</v>
      </c>
      <c r="H5" s="292" t="s">
        <v>178</v>
      </c>
      <c r="I5" s="292" t="s">
        <v>179</v>
      </c>
      <c r="J5" s="293" t="s">
        <v>180</v>
      </c>
    </row>
    <row r="6" spans="1:10" ht="16.5" thickBot="1" x14ac:dyDescent="0.3">
      <c r="A6" s="290" t="str">
        <f>IF(C6&lt;&gt;"",1+MAX(#REF!),"")</f>
        <v/>
      </c>
      <c r="B6" s="444"/>
      <c r="C6" s="444"/>
      <c r="D6" s="445"/>
      <c r="E6" s="444"/>
      <c r="F6" s="444"/>
      <c r="G6" s="444"/>
      <c r="H6" s="444"/>
      <c r="I6" s="444"/>
      <c r="J6" s="308"/>
    </row>
    <row r="7" spans="1:10" ht="16.5" thickBot="1" x14ac:dyDescent="0.3">
      <c r="A7" s="252" t="str">
        <f>IF(C7&lt;&gt;"",1+MAX($A$6:A6),"")</f>
        <v/>
      </c>
      <c r="B7" s="446" t="s">
        <v>181</v>
      </c>
      <c r="C7" s="447"/>
      <c r="D7" s="447"/>
      <c r="E7" s="448"/>
      <c r="F7" s="448"/>
      <c r="G7" s="448"/>
      <c r="H7" s="448"/>
      <c r="I7" s="448"/>
      <c r="J7" s="313"/>
    </row>
    <row r="8" spans="1:10" x14ac:dyDescent="0.25">
      <c r="A8" s="252" t="str">
        <f>IF(C8&lt;&gt;"",1+MAX($A$6:A7),"")</f>
        <v/>
      </c>
      <c r="B8" s="444"/>
      <c r="C8" s="447"/>
      <c r="D8" s="447"/>
      <c r="E8" s="448"/>
      <c r="F8" s="448"/>
      <c r="G8" s="448"/>
      <c r="H8" s="448"/>
      <c r="I8" s="448"/>
      <c r="J8" s="313"/>
    </row>
    <row r="9" spans="1:10" x14ac:dyDescent="0.25">
      <c r="A9" s="252">
        <f>IF(C9&lt;&gt;"",1+MAX($A$6:A8),"")</f>
        <v>1</v>
      </c>
      <c r="B9" s="448" t="s">
        <v>182</v>
      </c>
      <c r="C9" s="447">
        <v>53</v>
      </c>
      <c r="D9" s="447" t="s">
        <v>18</v>
      </c>
      <c r="E9" s="449">
        <v>0</v>
      </c>
      <c r="F9" s="450">
        <v>0</v>
      </c>
      <c r="G9" s="451">
        <f t="shared" ref="G9:G18" si="0">+C9*E9</f>
        <v>0</v>
      </c>
      <c r="H9" s="451">
        <f t="shared" ref="H9:H18" si="1">+C9*F9</f>
        <v>0</v>
      </c>
      <c r="I9" s="451">
        <f t="shared" ref="I9:I18" si="2">+G9+H9</f>
        <v>0</v>
      </c>
      <c r="J9" s="313" t="s">
        <v>183</v>
      </c>
    </row>
    <row r="10" spans="1:10" x14ac:dyDescent="0.25">
      <c r="A10" s="252">
        <f>IF(C10&lt;&gt;"",1+MAX($A$6:A9),"")</f>
        <v>2</v>
      </c>
      <c r="B10" s="448" t="s">
        <v>184</v>
      </c>
      <c r="C10" s="447">
        <v>5</v>
      </c>
      <c r="D10" s="447" t="s">
        <v>18</v>
      </c>
      <c r="E10" s="449">
        <v>0</v>
      </c>
      <c r="F10" s="450">
        <v>0</v>
      </c>
      <c r="G10" s="451">
        <f t="shared" si="0"/>
        <v>0</v>
      </c>
      <c r="H10" s="451">
        <f t="shared" si="1"/>
        <v>0</v>
      </c>
      <c r="I10" s="451">
        <f t="shared" si="2"/>
        <v>0</v>
      </c>
      <c r="J10" s="313" t="s">
        <v>185</v>
      </c>
    </row>
    <row r="11" spans="1:10" x14ac:dyDescent="0.25">
      <c r="A11" s="252">
        <f>IF(C11&lt;&gt;"",1+MAX($A$6:A10),"")</f>
        <v>3</v>
      </c>
      <c r="B11" s="448" t="s">
        <v>186</v>
      </c>
      <c r="C11" s="447">
        <v>66</v>
      </c>
      <c r="D11" s="447" t="s">
        <v>18</v>
      </c>
      <c r="E11" s="449">
        <v>0</v>
      </c>
      <c r="F11" s="450">
        <v>0</v>
      </c>
      <c r="G11" s="451">
        <f t="shared" si="0"/>
        <v>0</v>
      </c>
      <c r="H11" s="451">
        <f t="shared" si="1"/>
        <v>0</v>
      </c>
      <c r="I11" s="451">
        <f t="shared" si="2"/>
        <v>0</v>
      </c>
      <c r="J11" s="313" t="s">
        <v>187</v>
      </c>
    </row>
    <row r="12" spans="1:10" x14ac:dyDescent="0.25">
      <c r="A12" s="252">
        <f>IF(C12&lt;&gt;"",1+MAX($A$6:A11),"")</f>
        <v>4</v>
      </c>
      <c r="B12" s="448" t="s">
        <v>188</v>
      </c>
      <c r="C12" s="447">
        <v>17</v>
      </c>
      <c r="D12" s="447" t="s">
        <v>18</v>
      </c>
      <c r="E12" s="449">
        <v>0</v>
      </c>
      <c r="F12" s="450">
        <v>0</v>
      </c>
      <c r="G12" s="451">
        <f t="shared" si="0"/>
        <v>0</v>
      </c>
      <c r="H12" s="451">
        <f t="shared" si="1"/>
        <v>0</v>
      </c>
      <c r="I12" s="451">
        <f t="shared" si="2"/>
        <v>0</v>
      </c>
      <c r="J12" s="313" t="s">
        <v>189</v>
      </c>
    </row>
    <row r="13" spans="1:10" x14ac:dyDescent="0.25">
      <c r="A13" s="252">
        <f>IF(C13&lt;&gt;"",1+MAX($A$6:A12),"")</f>
        <v>5</v>
      </c>
      <c r="B13" s="448" t="s">
        <v>190</v>
      </c>
      <c r="C13" s="447">
        <v>7</v>
      </c>
      <c r="D13" s="447" t="s">
        <v>18</v>
      </c>
      <c r="E13" s="449">
        <v>0</v>
      </c>
      <c r="F13" s="450">
        <v>0</v>
      </c>
      <c r="G13" s="451">
        <f t="shared" si="0"/>
        <v>0</v>
      </c>
      <c r="H13" s="451">
        <f t="shared" si="1"/>
        <v>0</v>
      </c>
      <c r="I13" s="451">
        <f t="shared" si="2"/>
        <v>0</v>
      </c>
      <c r="J13" s="313" t="s">
        <v>191</v>
      </c>
    </row>
    <row r="14" spans="1:10" x14ac:dyDescent="0.25">
      <c r="A14" s="252">
        <f>IF(C14&lt;&gt;"",1+MAX($A$6:A13),"")</f>
        <v>6</v>
      </c>
      <c r="B14" s="448" t="s">
        <v>192</v>
      </c>
      <c r="C14" s="447">
        <v>5</v>
      </c>
      <c r="D14" s="447" t="s">
        <v>18</v>
      </c>
      <c r="E14" s="449">
        <v>0</v>
      </c>
      <c r="F14" s="450">
        <v>0</v>
      </c>
      <c r="G14" s="451">
        <f t="shared" si="0"/>
        <v>0</v>
      </c>
      <c r="H14" s="451">
        <f t="shared" si="1"/>
        <v>0</v>
      </c>
      <c r="I14" s="451">
        <f t="shared" si="2"/>
        <v>0</v>
      </c>
      <c r="J14" s="313" t="s">
        <v>191</v>
      </c>
    </row>
    <row r="15" spans="1:10" x14ac:dyDescent="0.25">
      <c r="A15" s="252">
        <f>IF(C15&lt;&gt;"",1+MAX($A$6:A14),"")</f>
        <v>7</v>
      </c>
      <c r="B15" s="448" t="s">
        <v>193</v>
      </c>
      <c r="C15" s="447">
        <v>48</v>
      </c>
      <c r="D15" s="447" t="s">
        <v>13</v>
      </c>
      <c r="E15" s="449">
        <v>0</v>
      </c>
      <c r="F15" s="450">
        <v>0</v>
      </c>
      <c r="G15" s="451">
        <f t="shared" si="0"/>
        <v>0</v>
      </c>
      <c r="H15" s="451">
        <f t="shared" si="1"/>
        <v>0</v>
      </c>
      <c r="I15" s="451">
        <f t="shared" si="2"/>
        <v>0</v>
      </c>
      <c r="J15" s="313" t="s">
        <v>194</v>
      </c>
    </row>
    <row r="16" spans="1:10" x14ac:dyDescent="0.25">
      <c r="A16" s="252">
        <f>IF(C16&lt;&gt;"",1+MAX($A$6:A15),"")</f>
        <v>8</v>
      </c>
      <c r="B16" s="448" t="s">
        <v>195</v>
      </c>
      <c r="C16" s="447">
        <v>4</v>
      </c>
      <c r="D16" s="447" t="s">
        <v>18</v>
      </c>
      <c r="E16" s="449">
        <v>0</v>
      </c>
      <c r="F16" s="450">
        <v>0</v>
      </c>
      <c r="G16" s="451">
        <f t="shared" si="0"/>
        <v>0</v>
      </c>
      <c r="H16" s="451">
        <f t="shared" si="1"/>
        <v>0</v>
      </c>
      <c r="I16" s="451">
        <f t="shared" si="2"/>
        <v>0</v>
      </c>
      <c r="J16" s="313" t="s">
        <v>196</v>
      </c>
    </row>
    <row r="17" spans="1:10" x14ac:dyDescent="0.25">
      <c r="A17" s="252">
        <f>IF(C17&lt;&gt;"",1+MAX($A$6:A16),"")</f>
        <v>9</v>
      </c>
      <c r="B17" s="448" t="s">
        <v>197</v>
      </c>
      <c r="C17" s="447">
        <v>141</v>
      </c>
      <c r="D17" s="447" t="s">
        <v>18</v>
      </c>
      <c r="E17" s="449">
        <v>0</v>
      </c>
      <c r="F17" s="450">
        <v>0</v>
      </c>
      <c r="G17" s="451">
        <f t="shared" si="0"/>
        <v>0</v>
      </c>
      <c r="H17" s="451">
        <f t="shared" si="1"/>
        <v>0</v>
      </c>
      <c r="I17" s="451">
        <f t="shared" si="2"/>
        <v>0</v>
      </c>
      <c r="J17" s="313" t="s">
        <v>198</v>
      </c>
    </row>
    <row r="18" spans="1:10" x14ac:dyDescent="0.25">
      <c r="A18" s="252">
        <f>IF(C18&lt;&gt;"",1+MAX($A$6:A17),"")</f>
        <v>10</v>
      </c>
      <c r="B18" s="448" t="s">
        <v>199</v>
      </c>
      <c r="C18" s="447">
        <v>36</v>
      </c>
      <c r="D18" s="447" t="s">
        <v>18</v>
      </c>
      <c r="E18" s="449">
        <v>0</v>
      </c>
      <c r="F18" s="450">
        <v>0</v>
      </c>
      <c r="G18" s="451">
        <f t="shared" si="0"/>
        <v>0</v>
      </c>
      <c r="H18" s="451">
        <f t="shared" si="1"/>
        <v>0</v>
      </c>
      <c r="I18" s="451">
        <f t="shared" si="2"/>
        <v>0</v>
      </c>
      <c r="J18" s="313" t="s">
        <v>200</v>
      </c>
    </row>
    <row r="19" spans="1:10" ht="16.5" thickBot="1" x14ac:dyDescent="0.3">
      <c r="A19" s="252" t="str">
        <f>IF(C19&lt;&gt;"",1+MAX($A$6:A18),"")</f>
        <v/>
      </c>
      <c r="B19" s="448"/>
      <c r="C19" s="447"/>
      <c r="D19" s="447"/>
      <c r="E19" s="448"/>
      <c r="F19" s="448"/>
      <c r="G19" s="448"/>
      <c r="H19" s="448"/>
      <c r="I19" s="448"/>
      <c r="J19" s="313"/>
    </row>
    <row r="20" spans="1:10" ht="16.5" thickBot="1" x14ac:dyDescent="0.3">
      <c r="A20" s="252" t="str">
        <f>IF(C20&lt;&gt;"",1+MAX($A$6:A19),"")</f>
        <v/>
      </c>
      <c r="B20" s="446" t="s">
        <v>201</v>
      </c>
      <c r="C20" s="447"/>
      <c r="D20" s="447"/>
      <c r="E20" s="448"/>
      <c r="F20" s="448"/>
      <c r="G20" s="448"/>
      <c r="H20" s="448"/>
      <c r="I20" s="448"/>
      <c r="J20" s="313"/>
    </row>
    <row r="21" spans="1:10" x14ac:dyDescent="0.25">
      <c r="A21" s="252" t="str">
        <f>IF(C21&lt;&gt;"",1+MAX($A$6:A20),"")</f>
        <v/>
      </c>
      <c r="B21" s="444"/>
      <c r="C21" s="447"/>
      <c r="D21" s="447"/>
      <c r="E21" s="448"/>
      <c r="F21" s="448"/>
      <c r="G21" s="448"/>
      <c r="H21" s="448"/>
      <c r="I21" s="448"/>
      <c r="J21" s="313"/>
    </row>
    <row r="22" spans="1:10" x14ac:dyDescent="0.25">
      <c r="A22" s="252">
        <f>IF(C22&lt;&gt;"",1+MAX($A$6:A21),"")</f>
        <v>11</v>
      </c>
      <c r="B22" s="448" t="s">
        <v>186</v>
      </c>
      <c r="C22" s="447">
        <v>20</v>
      </c>
      <c r="D22" s="447" t="s">
        <v>18</v>
      </c>
      <c r="E22" s="458">
        <f t="shared" ref="E22:F22" si="3">E$11</f>
        <v>0</v>
      </c>
      <c r="F22" s="459">
        <f t="shared" si="3"/>
        <v>0</v>
      </c>
      <c r="G22" s="451">
        <f t="shared" ref="G22:G27" si="4">+C22*E22</f>
        <v>0</v>
      </c>
      <c r="H22" s="451">
        <f t="shared" ref="H22:H27" si="5">+C22*F22</f>
        <v>0</v>
      </c>
      <c r="I22" s="451">
        <f t="shared" ref="I22:I27" si="6">+G22+H22</f>
        <v>0</v>
      </c>
      <c r="J22" s="313" t="s">
        <v>202</v>
      </c>
    </row>
    <row r="23" spans="1:10" x14ac:dyDescent="0.25">
      <c r="A23" s="252">
        <f>IF(C23&lt;&gt;"",1+MAX($A$6:A22),"")</f>
        <v>12</v>
      </c>
      <c r="B23" s="448" t="s">
        <v>203</v>
      </c>
      <c r="C23" s="447">
        <v>440</v>
      </c>
      <c r="D23" s="447" t="s">
        <v>18</v>
      </c>
      <c r="E23" s="449">
        <v>0</v>
      </c>
      <c r="F23" s="450">
        <v>0</v>
      </c>
      <c r="G23" s="451">
        <f t="shared" si="4"/>
        <v>0</v>
      </c>
      <c r="H23" s="451">
        <f t="shared" si="5"/>
        <v>0</v>
      </c>
      <c r="I23" s="451">
        <f t="shared" si="6"/>
        <v>0</v>
      </c>
      <c r="J23" s="313" t="s">
        <v>204</v>
      </c>
    </row>
    <row r="24" spans="1:10" x14ac:dyDescent="0.25">
      <c r="A24" s="252">
        <f>IF(C24&lt;&gt;"",1+MAX($A$6:A23),"")</f>
        <v>13</v>
      </c>
      <c r="B24" s="448" t="s">
        <v>186</v>
      </c>
      <c r="C24" s="447">
        <v>80</v>
      </c>
      <c r="D24" s="447" t="s">
        <v>18</v>
      </c>
      <c r="E24" s="458">
        <f t="shared" ref="E24:F24" si="7">E$11</f>
        <v>0</v>
      </c>
      <c r="F24" s="459">
        <f t="shared" si="7"/>
        <v>0</v>
      </c>
      <c r="G24" s="451">
        <f t="shared" si="4"/>
        <v>0</v>
      </c>
      <c r="H24" s="451">
        <f t="shared" si="5"/>
        <v>0</v>
      </c>
      <c r="I24" s="451">
        <f t="shared" si="6"/>
        <v>0</v>
      </c>
      <c r="J24" s="313" t="s">
        <v>205</v>
      </c>
    </row>
    <row r="25" spans="1:10" x14ac:dyDescent="0.25">
      <c r="A25" s="252">
        <f>IF(C25&lt;&gt;"",1+MAX($A$6:A24),"")</f>
        <v>14</v>
      </c>
      <c r="B25" s="448" t="s">
        <v>206</v>
      </c>
      <c r="C25" s="447">
        <v>115</v>
      </c>
      <c r="D25" s="447" t="s">
        <v>18</v>
      </c>
      <c r="E25" s="449">
        <v>0</v>
      </c>
      <c r="F25" s="450">
        <v>0</v>
      </c>
      <c r="G25" s="451">
        <f t="shared" si="4"/>
        <v>0</v>
      </c>
      <c r="H25" s="451">
        <f t="shared" si="5"/>
        <v>0</v>
      </c>
      <c r="I25" s="451">
        <f t="shared" si="6"/>
        <v>0</v>
      </c>
      <c r="J25" s="313" t="s">
        <v>207</v>
      </c>
    </row>
    <row r="26" spans="1:10" x14ac:dyDescent="0.25">
      <c r="A26" s="252">
        <f>IF(C26&lt;&gt;"",1+MAX($A$6:A25),"")</f>
        <v>15</v>
      </c>
      <c r="B26" s="448" t="s">
        <v>208</v>
      </c>
      <c r="C26" s="447">
        <v>2</v>
      </c>
      <c r="D26" s="447" t="s">
        <v>18</v>
      </c>
      <c r="E26" s="449">
        <v>0</v>
      </c>
      <c r="F26" s="450">
        <v>0</v>
      </c>
      <c r="G26" s="451">
        <f t="shared" si="4"/>
        <v>0</v>
      </c>
      <c r="H26" s="451">
        <f t="shared" si="5"/>
        <v>0</v>
      </c>
      <c r="I26" s="451">
        <f t="shared" si="6"/>
        <v>0</v>
      </c>
      <c r="J26" s="313" t="s">
        <v>209</v>
      </c>
    </row>
    <row r="27" spans="1:10" x14ac:dyDescent="0.25">
      <c r="A27" s="252">
        <f>IF(C27&lt;&gt;"",1+MAX($A$6:A26),"")</f>
        <v>16</v>
      </c>
      <c r="B27" s="448" t="s">
        <v>210</v>
      </c>
      <c r="C27" s="447">
        <v>4</v>
      </c>
      <c r="D27" s="447" t="s">
        <v>18</v>
      </c>
      <c r="E27" s="449">
        <v>0</v>
      </c>
      <c r="F27" s="450">
        <v>0</v>
      </c>
      <c r="G27" s="451">
        <f t="shared" si="4"/>
        <v>0</v>
      </c>
      <c r="H27" s="451">
        <f t="shared" si="5"/>
        <v>0</v>
      </c>
      <c r="I27" s="451">
        <f t="shared" si="6"/>
        <v>0</v>
      </c>
      <c r="J27" s="313" t="s">
        <v>211</v>
      </c>
    </row>
    <row r="28" spans="1:10" ht="16.5" thickBot="1" x14ac:dyDescent="0.3">
      <c r="A28" s="252" t="str">
        <f>IF(C28&lt;&gt;"",1+MAX($A$6:A27),"")</f>
        <v/>
      </c>
      <c r="B28" s="448"/>
      <c r="C28" s="447"/>
      <c r="D28" s="447"/>
      <c r="E28" s="448"/>
      <c r="F28" s="448"/>
      <c r="G28" s="448"/>
      <c r="H28" s="448"/>
      <c r="I28" s="448"/>
      <c r="J28" s="313"/>
    </row>
    <row r="29" spans="1:10" ht="16.5" thickBot="1" x14ac:dyDescent="0.3">
      <c r="A29" s="252" t="str">
        <f>IF(C29&lt;&gt;"",1+MAX($A$6:A28),"")</f>
        <v/>
      </c>
      <c r="B29" s="446" t="s">
        <v>212</v>
      </c>
      <c r="C29" s="447"/>
      <c r="D29" s="447"/>
      <c r="E29" s="448"/>
      <c r="F29" s="448"/>
      <c r="G29" s="448"/>
      <c r="H29" s="448"/>
      <c r="I29" s="448"/>
      <c r="J29" s="313"/>
    </row>
    <row r="30" spans="1:10" x14ac:dyDescent="0.25">
      <c r="A30" s="252" t="str">
        <f>IF(C30&lt;&gt;"",1+MAX($A$6:A29),"")</f>
        <v/>
      </c>
      <c r="B30" s="444"/>
      <c r="C30" s="447"/>
      <c r="D30" s="447"/>
      <c r="E30" s="448"/>
      <c r="F30" s="448"/>
      <c r="G30" s="448"/>
      <c r="H30" s="448"/>
      <c r="I30" s="448"/>
      <c r="J30" s="313"/>
    </row>
    <row r="31" spans="1:10" x14ac:dyDescent="0.25">
      <c r="A31" s="252">
        <f>IF(C31&lt;&gt;"",1+MAX($A$6:A30),"")</f>
        <v>17</v>
      </c>
      <c r="B31" s="448" t="s">
        <v>184</v>
      </c>
      <c r="C31" s="447">
        <v>29</v>
      </c>
      <c r="D31" s="447" t="s">
        <v>18</v>
      </c>
      <c r="E31" s="458">
        <f t="shared" ref="E31:F31" si="8">E$10</f>
        <v>0</v>
      </c>
      <c r="F31" s="459">
        <f t="shared" si="8"/>
        <v>0</v>
      </c>
      <c r="G31" s="451">
        <f t="shared" ref="G31:G37" si="9">+C31*E31</f>
        <v>0</v>
      </c>
      <c r="H31" s="451">
        <f t="shared" ref="H31:H37" si="10">+C31*F31</f>
        <v>0</v>
      </c>
      <c r="I31" s="451">
        <f t="shared" ref="I31:I37" si="11">+G31+H31</f>
        <v>0</v>
      </c>
      <c r="J31" s="313" t="s">
        <v>202</v>
      </c>
    </row>
    <row r="32" spans="1:10" x14ac:dyDescent="0.25">
      <c r="A32" s="252">
        <f>IF(C32&lt;&gt;"",1+MAX($A$6:A31),"")</f>
        <v>18</v>
      </c>
      <c r="B32" s="448" t="s">
        <v>186</v>
      </c>
      <c r="C32" s="447">
        <v>18</v>
      </c>
      <c r="D32" s="447" t="s">
        <v>18</v>
      </c>
      <c r="E32" s="458">
        <f t="shared" ref="E32:F32" si="12">E$11</f>
        <v>0</v>
      </c>
      <c r="F32" s="459">
        <f t="shared" si="12"/>
        <v>0</v>
      </c>
      <c r="G32" s="451">
        <f t="shared" si="9"/>
        <v>0</v>
      </c>
      <c r="H32" s="451">
        <f t="shared" si="10"/>
        <v>0</v>
      </c>
      <c r="I32" s="451">
        <f t="shared" si="11"/>
        <v>0</v>
      </c>
      <c r="J32" s="313" t="s">
        <v>202</v>
      </c>
    </row>
    <row r="33" spans="1:10" x14ac:dyDescent="0.25">
      <c r="A33" s="252">
        <f>IF(C33&lt;&gt;"",1+MAX($A$6:A32),"")</f>
        <v>19</v>
      </c>
      <c r="B33" s="448" t="s">
        <v>213</v>
      </c>
      <c r="C33" s="447">
        <v>749</v>
      </c>
      <c r="D33" s="447" t="s">
        <v>18</v>
      </c>
      <c r="E33" s="449">
        <v>0</v>
      </c>
      <c r="F33" s="450">
        <v>0</v>
      </c>
      <c r="G33" s="451">
        <f t="shared" si="9"/>
        <v>0</v>
      </c>
      <c r="H33" s="451">
        <f t="shared" si="10"/>
        <v>0</v>
      </c>
      <c r="I33" s="451">
        <f t="shared" si="11"/>
        <v>0</v>
      </c>
      <c r="J33" s="313" t="s">
        <v>204</v>
      </c>
    </row>
    <row r="34" spans="1:10" x14ac:dyDescent="0.25">
      <c r="A34" s="252">
        <f>IF(C34&lt;&gt;"",1+MAX($A$6:A33),"")</f>
        <v>20</v>
      </c>
      <c r="B34" s="448" t="s">
        <v>203</v>
      </c>
      <c r="C34" s="447">
        <v>391</v>
      </c>
      <c r="D34" s="447" t="s">
        <v>18</v>
      </c>
      <c r="E34" s="458">
        <f t="shared" ref="E34:F34" si="13">E$23</f>
        <v>0</v>
      </c>
      <c r="F34" s="459">
        <f t="shared" si="13"/>
        <v>0</v>
      </c>
      <c r="G34" s="451">
        <f t="shared" si="9"/>
        <v>0</v>
      </c>
      <c r="H34" s="451">
        <f t="shared" si="10"/>
        <v>0</v>
      </c>
      <c r="I34" s="451">
        <f t="shared" si="11"/>
        <v>0</v>
      </c>
      <c r="J34" s="313" t="s">
        <v>214</v>
      </c>
    </row>
    <row r="35" spans="1:10" x14ac:dyDescent="0.25">
      <c r="A35" s="252">
        <f>IF(C35&lt;&gt;"",1+MAX($A$6:A34),"")</f>
        <v>21</v>
      </c>
      <c r="B35" s="448" t="s">
        <v>184</v>
      </c>
      <c r="C35" s="447">
        <v>87</v>
      </c>
      <c r="D35" s="447" t="s">
        <v>18</v>
      </c>
      <c r="E35" s="458">
        <f t="shared" ref="E35:F35" si="14">E$10</f>
        <v>0</v>
      </c>
      <c r="F35" s="459">
        <f t="shared" si="14"/>
        <v>0</v>
      </c>
      <c r="G35" s="451">
        <f t="shared" si="9"/>
        <v>0</v>
      </c>
      <c r="H35" s="451">
        <f t="shared" si="10"/>
        <v>0</v>
      </c>
      <c r="I35" s="451">
        <f t="shared" si="11"/>
        <v>0</v>
      </c>
      <c r="J35" s="313" t="s">
        <v>205</v>
      </c>
    </row>
    <row r="36" spans="1:10" x14ac:dyDescent="0.25">
      <c r="A36" s="252">
        <f>IF(C36&lt;&gt;"",1+MAX($A$6:A35),"")</f>
        <v>22</v>
      </c>
      <c r="B36" s="448" t="s">
        <v>186</v>
      </c>
      <c r="C36" s="447">
        <v>54</v>
      </c>
      <c r="D36" s="447" t="s">
        <v>18</v>
      </c>
      <c r="E36" s="458">
        <f t="shared" ref="E36:F36" si="15">E$11</f>
        <v>0</v>
      </c>
      <c r="F36" s="459">
        <f t="shared" si="15"/>
        <v>0</v>
      </c>
      <c r="G36" s="451">
        <f t="shared" si="9"/>
        <v>0</v>
      </c>
      <c r="H36" s="451">
        <f t="shared" si="10"/>
        <v>0</v>
      </c>
      <c r="I36" s="451">
        <f t="shared" si="11"/>
        <v>0</v>
      </c>
      <c r="J36" s="313" t="s">
        <v>205</v>
      </c>
    </row>
    <row r="37" spans="1:10" x14ac:dyDescent="0.25">
      <c r="A37" s="252">
        <f>IF(C37&lt;&gt;"",1+MAX($A$6:A36),"")</f>
        <v>23</v>
      </c>
      <c r="B37" s="448" t="s">
        <v>215</v>
      </c>
      <c r="C37" s="447">
        <v>48</v>
      </c>
      <c r="D37" s="447" t="s">
        <v>18</v>
      </c>
      <c r="E37" s="458">
        <f t="shared" ref="E37:F37" si="16">E$25</f>
        <v>0</v>
      </c>
      <c r="F37" s="459">
        <f t="shared" si="16"/>
        <v>0</v>
      </c>
      <c r="G37" s="451">
        <f t="shared" si="9"/>
        <v>0</v>
      </c>
      <c r="H37" s="451">
        <f t="shared" si="10"/>
        <v>0</v>
      </c>
      <c r="I37" s="451">
        <f t="shared" si="11"/>
        <v>0</v>
      </c>
      <c r="J37" s="313" t="s">
        <v>216</v>
      </c>
    </row>
    <row r="38" spans="1:10" ht="16.5" thickBot="1" x14ac:dyDescent="0.3">
      <c r="A38" s="252" t="str">
        <f>IF(C38&lt;&gt;"",1+MAX($A$6:A37),"")</f>
        <v/>
      </c>
      <c r="B38" s="448"/>
      <c r="C38" s="447"/>
      <c r="D38" s="447"/>
      <c r="E38" s="448"/>
      <c r="F38" s="448"/>
      <c r="G38" s="448"/>
      <c r="H38" s="448"/>
      <c r="I38" s="448"/>
      <c r="J38" s="313"/>
    </row>
    <row r="39" spans="1:10" ht="16.5" thickBot="1" x14ac:dyDescent="0.3">
      <c r="A39" s="252" t="str">
        <f>IF(C39&lt;&gt;"",1+MAX($A$6:A38),"")</f>
        <v/>
      </c>
      <c r="B39" s="446" t="s">
        <v>217</v>
      </c>
      <c r="C39" s="447"/>
      <c r="D39" s="447"/>
      <c r="E39" s="448"/>
      <c r="F39" s="448"/>
      <c r="G39" s="448"/>
      <c r="H39" s="448"/>
      <c r="I39" s="448"/>
      <c r="J39" s="313"/>
    </row>
    <row r="40" spans="1:10" x14ac:dyDescent="0.25">
      <c r="A40" s="252" t="str">
        <f>IF(C40&lt;&gt;"",1+MAX($A$6:A39),"")</f>
        <v/>
      </c>
      <c r="B40" s="444"/>
      <c r="C40" s="447"/>
      <c r="D40" s="447"/>
      <c r="E40" s="448"/>
      <c r="F40" s="448"/>
      <c r="G40" s="448"/>
      <c r="H40" s="448"/>
      <c r="I40" s="448"/>
      <c r="J40" s="313"/>
    </row>
    <row r="41" spans="1:10" x14ac:dyDescent="0.25">
      <c r="A41" s="252">
        <f>IF(C41&lt;&gt;"",1+MAX($A$6:A40),"")</f>
        <v>24</v>
      </c>
      <c r="B41" s="448" t="s">
        <v>184</v>
      </c>
      <c r="C41" s="447">
        <v>2</v>
      </c>
      <c r="D41" s="447" t="s">
        <v>18</v>
      </c>
      <c r="E41" s="458">
        <f t="shared" ref="E41:F41" si="17">E$10</f>
        <v>0</v>
      </c>
      <c r="F41" s="459">
        <f t="shared" si="17"/>
        <v>0</v>
      </c>
      <c r="G41" s="451">
        <f>+C41*E41</f>
        <v>0</v>
      </c>
      <c r="H41" s="451">
        <f>+C41*F41</f>
        <v>0</v>
      </c>
      <c r="I41" s="451">
        <f t="shared" ref="I41:I43" si="18">+G41+H41</f>
        <v>0</v>
      </c>
      <c r="J41" s="313" t="s">
        <v>202</v>
      </c>
    </row>
    <row r="42" spans="1:10" x14ac:dyDescent="0.25">
      <c r="A42" s="252">
        <f>IF(C42&lt;&gt;"",1+MAX($A$6:A41),"")</f>
        <v>25</v>
      </c>
      <c r="B42" s="448" t="s">
        <v>213</v>
      </c>
      <c r="C42" s="447">
        <v>37</v>
      </c>
      <c r="D42" s="447" t="s">
        <v>18</v>
      </c>
      <c r="E42" s="458">
        <f t="shared" ref="E42:F42" si="19">E$33</f>
        <v>0</v>
      </c>
      <c r="F42" s="459">
        <f t="shared" si="19"/>
        <v>0</v>
      </c>
      <c r="G42" s="451">
        <f>+C42*E42</f>
        <v>0</v>
      </c>
      <c r="H42" s="451">
        <f>+C42*F42</f>
        <v>0</v>
      </c>
      <c r="I42" s="451">
        <f t="shared" si="18"/>
        <v>0</v>
      </c>
      <c r="J42" s="313" t="s">
        <v>204</v>
      </c>
    </row>
    <row r="43" spans="1:10" x14ac:dyDescent="0.25">
      <c r="A43" s="252">
        <f>IF(C43&lt;&gt;"",1+MAX($A$6:A42),"")</f>
        <v>26</v>
      </c>
      <c r="B43" s="448" t="s">
        <v>184</v>
      </c>
      <c r="C43" s="447">
        <v>6</v>
      </c>
      <c r="D43" s="447" t="s">
        <v>18</v>
      </c>
      <c r="E43" s="458">
        <f t="shared" ref="E43:F43" si="20">E$10</f>
        <v>0</v>
      </c>
      <c r="F43" s="459">
        <f t="shared" si="20"/>
        <v>0</v>
      </c>
      <c r="G43" s="451">
        <f>+C43*E43</f>
        <v>0</v>
      </c>
      <c r="H43" s="451">
        <f>+C43*F43</f>
        <v>0</v>
      </c>
      <c r="I43" s="451">
        <f t="shared" si="18"/>
        <v>0</v>
      </c>
      <c r="J43" s="313" t="s">
        <v>205</v>
      </c>
    </row>
    <row r="44" spans="1:10" ht="16.5" thickBot="1" x14ac:dyDescent="0.3">
      <c r="A44" s="252" t="str">
        <f>IF(C44&lt;&gt;"",1+MAX($A$6:A43),"")</f>
        <v/>
      </c>
      <c r="B44" s="448"/>
      <c r="C44" s="447"/>
      <c r="D44" s="447"/>
      <c r="E44" s="448"/>
      <c r="F44" s="448"/>
      <c r="G44" s="448"/>
      <c r="H44" s="448"/>
      <c r="I44" s="448"/>
      <c r="J44" s="313"/>
    </row>
    <row r="45" spans="1:10" ht="16.5" thickBot="1" x14ac:dyDescent="0.3">
      <c r="A45" s="252" t="str">
        <f>IF(C45&lt;&gt;"",1+MAX($A$6:A44),"")</f>
        <v/>
      </c>
      <c r="B45" s="446" t="s">
        <v>218</v>
      </c>
      <c r="C45" s="447"/>
      <c r="D45" s="447"/>
      <c r="E45" s="448"/>
      <c r="F45" s="448"/>
      <c r="G45" s="448"/>
      <c r="H45" s="448"/>
      <c r="I45" s="448"/>
      <c r="J45" s="313"/>
    </row>
    <row r="46" spans="1:10" x14ac:dyDescent="0.25">
      <c r="A46" s="252" t="str">
        <f>IF(C46&lt;&gt;"",1+MAX($A$6:A45),"")</f>
        <v/>
      </c>
      <c r="B46" s="444"/>
      <c r="C46" s="447"/>
      <c r="D46" s="447"/>
      <c r="E46" s="448"/>
      <c r="F46" s="448"/>
      <c r="G46" s="448"/>
      <c r="H46" s="448"/>
      <c r="I46" s="448"/>
      <c r="J46" s="313"/>
    </row>
    <row r="47" spans="1:10" x14ac:dyDescent="0.25">
      <c r="A47" s="252">
        <f>IF(C47&lt;&gt;"",1+MAX($A$6:A46),"")</f>
        <v>27</v>
      </c>
      <c r="B47" s="448" t="s">
        <v>219</v>
      </c>
      <c r="C47" s="447">
        <v>15</v>
      </c>
      <c r="D47" s="447" t="s">
        <v>18</v>
      </c>
      <c r="E47" s="449">
        <v>0</v>
      </c>
      <c r="F47" s="450">
        <v>0</v>
      </c>
      <c r="G47" s="451">
        <f>+C47*E47</f>
        <v>0</v>
      </c>
      <c r="H47" s="451">
        <f>+C47*F47</f>
        <v>0</v>
      </c>
      <c r="I47" s="451">
        <f t="shared" ref="I47:I49" si="21">+G47+H47</f>
        <v>0</v>
      </c>
      <c r="J47" s="313" t="s">
        <v>220</v>
      </c>
    </row>
    <row r="48" spans="1:10" x14ac:dyDescent="0.25">
      <c r="A48" s="252">
        <f>IF(C48&lt;&gt;"",1+MAX($A$6:A47),"")</f>
        <v>28</v>
      </c>
      <c r="B48" s="448" t="s">
        <v>221</v>
      </c>
      <c r="C48" s="447">
        <v>20</v>
      </c>
      <c r="D48" s="447" t="s">
        <v>13</v>
      </c>
      <c r="E48" s="449">
        <v>0</v>
      </c>
      <c r="F48" s="450">
        <v>0</v>
      </c>
      <c r="G48" s="451">
        <f>+C48*E48</f>
        <v>0</v>
      </c>
      <c r="H48" s="451">
        <f>+C48*F48</f>
        <v>0</v>
      </c>
      <c r="I48" s="451">
        <f t="shared" si="21"/>
        <v>0</v>
      </c>
      <c r="J48" s="313" t="s">
        <v>222</v>
      </c>
    </row>
    <row r="49" spans="1:10" x14ac:dyDescent="0.25">
      <c r="A49" s="252">
        <f>IF(C49&lt;&gt;"",1+MAX($A$6:A48),"")</f>
        <v>29</v>
      </c>
      <c r="B49" s="448" t="s">
        <v>223</v>
      </c>
      <c r="C49" s="447">
        <v>4</v>
      </c>
      <c r="D49" s="447" t="s">
        <v>18</v>
      </c>
      <c r="E49" s="449">
        <v>0</v>
      </c>
      <c r="F49" s="450">
        <v>0</v>
      </c>
      <c r="G49" s="451">
        <f>+C49*E49</f>
        <v>0</v>
      </c>
      <c r="H49" s="451">
        <f>+C49*F49</f>
        <v>0</v>
      </c>
      <c r="I49" s="451">
        <f t="shared" si="21"/>
        <v>0</v>
      </c>
      <c r="J49" s="313" t="s">
        <v>224</v>
      </c>
    </row>
    <row r="50" spans="1:10" ht="16.5" thickBot="1" x14ac:dyDescent="0.3">
      <c r="A50" s="252" t="str">
        <f>IF(C50&lt;&gt;"",1+MAX($A$6:A49),"")</f>
        <v/>
      </c>
      <c r="B50" s="448"/>
      <c r="C50" s="447"/>
      <c r="D50" s="447"/>
      <c r="E50" s="448"/>
      <c r="F50" s="448"/>
      <c r="G50" s="448"/>
      <c r="H50" s="448"/>
      <c r="I50" s="448"/>
      <c r="J50" s="313"/>
    </row>
    <row r="51" spans="1:10" ht="16.5" thickBot="1" x14ac:dyDescent="0.3">
      <c r="A51" s="252" t="str">
        <f>IF(C51&lt;&gt;"",1+MAX($A$6:A50),"")</f>
        <v/>
      </c>
      <c r="B51" s="446" t="s">
        <v>225</v>
      </c>
      <c r="C51" s="447"/>
      <c r="D51" s="447"/>
      <c r="E51" s="448"/>
      <c r="F51" s="448"/>
      <c r="G51" s="448"/>
      <c r="H51" s="448"/>
      <c r="I51" s="448"/>
      <c r="J51" s="313"/>
    </row>
    <row r="52" spans="1:10" x14ac:dyDescent="0.25">
      <c r="A52" s="252" t="str">
        <f>IF(C52&lt;&gt;"",1+MAX($A$6:A51),"")</f>
        <v/>
      </c>
      <c r="B52" s="444"/>
      <c r="C52" s="447"/>
      <c r="D52" s="447"/>
      <c r="E52" s="448"/>
      <c r="F52" s="448"/>
      <c r="G52" s="448"/>
      <c r="H52" s="448"/>
      <c r="I52" s="448"/>
      <c r="J52" s="313"/>
    </row>
    <row r="53" spans="1:10" x14ac:dyDescent="0.25">
      <c r="A53" s="252">
        <f>IF(C53&lt;&gt;"",1+MAX($A$6:A52),"")</f>
        <v>30</v>
      </c>
      <c r="B53" s="448" t="s">
        <v>219</v>
      </c>
      <c r="C53" s="447">
        <v>1</v>
      </c>
      <c r="D53" s="447" t="s">
        <v>18</v>
      </c>
      <c r="E53" s="458">
        <f t="shared" ref="E53:F53" si="22">E$47</f>
        <v>0</v>
      </c>
      <c r="F53" s="459">
        <f t="shared" si="22"/>
        <v>0</v>
      </c>
      <c r="G53" s="451">
        <f>+C53*E53</f>
        <v>0</v>
      </c>
      <c r="H53" s="451">
        <f>+C53*F53</f>
        <v>0</v>
      </c>
      <c r="I53" s="451">
        <f t="shared" ref="I53:I55" si="23">+G53+H53</f>
        <v>0</v>
      </c>
      <c r="J53" s="313" t="s">
        <v>220</v>
      </c>
    </row>
    <row r="54" spans="1:10" x14ac:dyDescent="0.25">
      <c r="A54" s="252">
        <f>IF(C54&lt;&gt;"",1+MAX($A$6:A53),"")</f>
        <v>31</v>
      </c>
      <c r="B54" s="448" t="s">
        <v>226</v>
      </c>
      <c r="C54" s="447">
        <v>8</v>
      </c>
      <c r="D54" s="447" t="s">
        <v>13</v>
      </c>
      <c r="E54" s="458">
        <f t="shared" ref="E54:F54" si="24">E$48</f>
        <v>0</v>
      </c>
      <c r="F54" s="459">
        <f t="shared" si="24"/>
        <v>0</v>
      </c>
      <c r="G54" s="451">
        <f>+C54*E54</f>
        <v>0</v>
      </c>
      <c r="H54" s="451">
        <f>+C54*F54</f>
        <v>0</v>
      </c>
      <c r="I54" s="451">
        <f t="shared" si="23"/>
        <v>0</v>
      </c>
      <c r="J54" s="313" t="s">
        <v>222</v>
      </c>
    </row>
    <row r="55" spans="1:10" x14ac:dyDescent="0.25">
      <c r="A55" s="252">
        <f>IF(C55&lt;&gt;"",1+MAX($A$6:A54),"")</f>
        <v>32</v>
      </c>
      <c r="B55" s="448" t="s">
        <v>223</v>
      </c>
      <c r="C55" s="447">
        <v>1</v>
      </c>
      <c r="D55" s="447" t="s">
        <v>18</v>
      </c>
      <c r="E55" s="458">
        <f t="shared" ref="E55:F55" si="25">E$49</f>
        <v>0</v>
      </c>
      <c r="F55" s="459">
        <f t="shared" si="25"/>
        <v>0</v>
      </c>
      <c r="G55" s="451">
        <f>+C55*E55</f>
        <v>0</v>
      </c>
      <c r="H55" s="451">
        <f>+C55*F55</f>
        <v>0</v>
      </c>
      <c r="I55" s="451">
        <f t="shared" si="23"/>
        <v>0</v>
      </c>
      <c r="J55" s="313" t="s">
        <v>224</v>
      </c>
    </row>
    <row r="56" spans="1:10" ht="16.5" thickBot="1" x14ac:dyDescent="0.3">
      <c r="A56" s="252" t="str">
        <f>IF(C56&lt;&gt;"",1+MAX($A$6:A55),"")</f>
        <v/>
      </c>
      <c r="B56" s="448"/>
      <c r="C56" s="447"/>
      <c r="D56" s="447"/>
      <c r="E56" s="448"/>
      <c r="F56" s="448"/>
      <c r="G56" s="448"/>
      <c r="H56" s="448"/>
      <c r="I56" s="448"/>
      <c r="J56" s="313"/>
    </row>
    <row r="57" spans="1:10" ht="16.5" thickBot="1" x14ac:dyDescent="0.3">
      <c r="A57" s="252" t="str">
        <f>IF(C57&lt;&gt;"",1+MAX($A$6:A56),"")</f>
        <v/>
      </c>
      <c r="B57" s="446" t="s">
        <v>227</v>
      </c>
      <c r="C57" s="447"/>
      <c r="D57" s="447"/>
      <c r="E57" s="448"/>
      <c r="F57" s="448"/>
      <c r="G57" s="448"/>
      <c r="H57" s="448"/>
      <c r="I57" s="448"/>
      <c r="J57" s="313"/>
    </row>
    <row r="58" spans="1:10" x14ac:dyDescent="0.25">
      <c r="A58" s="252" t="str">
        <f>IF(C58&lt;&gt;"",1+MAX($A$6:A57),"")</f>
        <v/>
      </c>
      <c r="B58" s="444"/>
      <c r="C58" s="447"/>
      <c r="D58" s="447"/>
      <c r="E58" s="448"/>
      <c r="F58" s="448"/>
      <c r="G58" s="448"/>
      <c r="H58" s="448"/>
      <c r="I58" s="448"/>
      <c r="J58" s="313"/>
    </row>
    <row r="59" spans="1:10" x14ac:dyDescent="0.25">
      <c r="A59" s="252">
        <f>IF(C59&lt;&gt;"",1+MAX($A$6:A58),"")</f>
        <v>33</v>
      </c>
      <c r="B59" s="448" t="s">
        <v>186</v>
      </c>
      <c r="C59" s="447">
        <v>26</v>
      </c>
      <c r="D59" s="447" t="s">
        <v>18</v>
      </c>
      <c r="E59" s="458">
        <f t="shared" ref="E59:F59" si="26">E$11</f>
        <v>0</v>
      </c>
      <c r="F59" s="459">
        <f t="shared" si="26"/>
        <v>0</v>
      </c>
      <c r="G59" s="451">
        <f t="shared" ref="G59:G65" si="27">+C59*E59</f>
        <v>0</v>
      </c>
      <c r="H59" s="451">
        <f t="shared" ref="H59:H65" si="28">+C59*F59</f>
        <v>0</v>
      </c>
      <c r="I59" s="451">
        <f t="shared" ref="I59:I65" si="29">+G59+H59</f>
        <v>0</v>
      </c>
      <c r="J59" s="313" t="s">
        <v>228</v>
      </c>
    </row>
    <row r="60" spans="1:10" x14ac:dyDescent="0.25">
      <c r="A60" s="252">
        <f>IF(C60&lt;&gt;"",1+MAX($A$6:A59),"")</f>
        <v>34</v>
      </c>
      <c r="B60" s="448" t="s">
        <v>188</v>
      </c>
      <c r="C60" s="447">
        <v>14</v>
      </c>
      <c r="D60" s="447" t="s">
        <v>18</v>
      </c>
      <c r="E60" s="458">
        <f t="shared" ref="E60:F60" si="30">E$12</f>
        <v>0</v>
      </c>
      <c r="F60" s="459">
        <f t="shared" si="30"/>
        <v>0</v>
      </c>
      <c r="G60" s="451">
        <f t="shared" si="27"/>
        <v>0</v>
      </c>
      <c r="H60" s="451">
        <f t="shared" si="28"/>
        <v>0</v>
      </c>
      <c r="I60" s="451">
        <f t="shared" si="29"/>
        <v>0</v>
      </c>
      <c r="J60" s="313" t="s">
        <v>229</v>
      </c>
    </row>
    <row r="61" spans="1:10" x14ac:dyDescent="0.25">
      <c r="A61" s="252">
        <f>IF(C61&lt;&gt;"",1+MAX($A$6:A60),"")</f>
        <v>35</v>
      </c>
      <c r="B61" s="448" t="s">
        <v>230</v>
      </c>
      <c r="C61" s="447">
        <f>20*16</f>
        <v>320</v>
      </c>
      <c r="D61" s="447" t="s">
        <v>13</v>
      </c>
      <c r="E61" s="449">
        <v>0</v>
      </c>
      <c r="F61" s="450">
        <v>0</v>
      </c>
      <c r="G61" s="451">
        <f t="shared" si="27"/>
        <v>0</v>
      </c>
      <c r="H61" s="451">
        <f t="shared" si="28"/>
        <v>0</v>
      </c>
      <c r="I61" s="451">
        <f t="shared" si="29"/>
        <v>0</v>
      </c>
      <c r="J61" s="313" t="s">
        <v>231</v>
      </c>
    </row>
    <row r="62" spans="1:10" x14ac:dyDescent="0.25">
      <c r="A62" s="252">
        <f>IF(C62&lt;&gt;"",1+MAX($A$6:A61),"")</f>
        <v>36</v>
      </c>
      <c r="B62" s="448" t="s">
        <v>193</v>
      </c>
      <c r="C62" s="447">
        <v>48</v>
      </c>
      <c r="D62" s="447" t="s">
        <v>13</v>
      </c>
      <c r="E62" s="458">
        <f t="shared" ref="E62:F62" si="31">E$15</f>
        <v>0</v>
      </c>
      <c r="F62" s="459">
        <f t="shared" si="31"/>
        <v>0</v>
      </c>
      <c r="G62" s="451">
        <f t="shared" si="27"/>
        <v>0</v>
      </c>
      <c r="H62" s="451">
        <f t="shared" si="28"/>
        <v>0</v>
      </c>
      <c r="I62" s="451">
        <f t="shared" si="29"/>
        <v>0</v>
      </c>
      <c r="J62" s="313" t="s">
        <v>232</v>
      </c>
    </row>
    <row r="63" spans="1:10" x14ac:dyDescent="0.25">
      <c r="A63" s="252">
        <f>IF(C63&lt;&gt;"",1+MAX($A$6:A62),"")</f>
        <v>37</v>
      </c>
      <c r="B63" s="448" t="s">
        <v>195</v>
      </c>
      <c r="C63" s="447">
        <v>8</v>
      </c>
      <c r="D63" s="447" t="s">
        <v>18</v>
      </c>
      <c r="E63" s="458">
        <f t="shared" ref="E63:F63" si="32">E$16</f>
        <v>0</v>
      </c>
      <c r="F63" s="459">
        <f t="shared" si="32"/>
        <v>0</v>
      </c>
      <c r="G63" s="451">
        <f t="shared" si="27"/>
        <v>0</v>
      </c>
      <c r="H63" s="451">
        <f t="shared" si="28"/>
        <v>0</v>
      </c>
      <c r="I63" s="451">
        <f t="shared" si="29"/>
        <v>0</v>
      </c>
      <c r="J63" s="313" t="s">
        <v>196</v>
      </c>
    </row>
    <row r="64" spans="1:10" x14ac:dyDescent="0.25">
      <c r="A64" s="252">
        <f>IF(C64&lt;&gt;"",1+MAX($A$6:A63),"")</f>
        <v>38</v>
      </c>
      <c r="B64" s="448" t="s">
        <v>197</v>
      </c>
      <c r="C64" s="447">
        <v>138</v>
      </c>
      <c r="D64" s="447" t="s">
        <v>18</v>
      </c>
      <c r="E64" s="458">
        <f t="shared" ref="E64:F64" si="33">E$17</f>
        <v>0</v>
      </c>
      <c r="F64" s="459">
        <f t="shared" si="33"/>
        <v>0</v>
      </c>
      <c r="G64" s="451">
        <f t="shared" si="27"/>
        <v>0</v>
      </c>
      <c r="H64" s="451">
        <f t="shared" si="28"/>
        <v>0</v>
      </c>
      <c r="I64" s="451">
        <f t="shared" si="29"/>
        <v>0</v>
      </c>
      <c r="J64" s="313" t="s">
        <v>198</v>
      </c>
    </row>
    <row r="65" spans="1:10" x14ac:dyDescent="0.25">
      <c r="A65" s="252">
        <f>IF(C65&lt;&gt;"",1+MAX($A$6:A64),"")</f>
        <v>39</v>
      </c>
      <c r="B65" s="448" t="s">
        <v>199</v>
      </c>
      <c r="C65" s="447">
        <v>35</v>
      </c>
      <c r="D65" s="447" t="s">
        <v>18</v>
      </c>
      <c r="E65" s="458">
        <f t="shared" ref="E65:F65" si="34">E$18</f>
        <v>0</v>
      </c>
      <c r="F65" s="459">
        <f t="shared" si="34"/>
        <v>0</v>
      </c>
      <c r="G65" s="451">
        <f t="shared" si="27"/>
        <v>0</v>
      </c>
      <c r="H65" s="451">
        <f t="shared" si="28"/>
        <v>0</v>
      </c>
      <c r="I65" s="451">
        <f t="shared" si="29"/>
        <v>0</v>
      </c>
      <c r="J65" s="313" t="s">
        <v>200</v>
      </c>
    </row>
    <row r="66" spans="1:10" ht="16.5" thickBot="1" x14ac:dyDescent="0.3">
      <c r="A66" s="252" t="str">
        <f>IF(C66&lt;&gt;"",1+MAX($A$6:A65),"")</f>
        <v/>
      </c>
      <c r="B66" s="448"/>
      <c r="C66" s="447"/>
      <c r="D66" s="447"/>
      <c r="E66" s="448"/>
      <c r="F66" s="448"/>
      <c r="G66" s="448"/>
      <c r="H66" s="448"/>
      <c r="I66" s="448"/>
      <c r="J66" s="313"/>
    </row>
    <row r="67" spans="1:10" ht="16.5" thickBot="1" x14ac:dyDescent="0.3">
      <c r="A67" s="252" t="str">
        <f>IF(C67&lt;&gt;"",1+MAX($A$6:A66),"")</f>
        <v/>
      </c>
      <c r="B67" s="446" t="s">
        <v>233</v>
      </c>
      <c r="C67" s="447"/>
      <c r="D67" s="447"/>
      <c r="E67" s="448"/>
      <c r="F67" s="448"/>
      <c r="G67" s="448"/>
      <c r="H67" s="448"/>
      <c r="I67" s="448"/>
      <c r="J67" s="313"/>
    </row>
    <row r="68" spans="1:10" x14ac:dyDescent="0.25">
      <c r="A68" s="252" t="str">
        <f>IF(C68&lt;&gt;"",1+MAX($A$6:A67),"")</f>
        <v/>
      </c>
      <c r="B68" s="444"/>
      <c r="C68" s="447"/>
      <c r="D68" s="447"/>
      <c r="E68" s="448"/>
      <c r="F68" s="448"/>
      <c r="G68" s="448"/>
      <c r="H68" s="448"/>
      <c r="I68" s="448"/>
      <c r="J68" s="313"/>
    </row>
    <row r="69" spans="1:10" x14ac:dyDescent="0.25">
      <c r="A69" s="252">
        <f>IF(C69&lt;&gt;"",1+MAX($A$6:A68),"")</f>
        <v>40</v>
      </c>
      <c r="B69" s="448" t="s">
        <v>186</v>
      </c>
      <c r="C69" s="447">
        <v>20</v>
      </c>
      <c r="D69" s="447" t="s">
        <v>18</v>
      </c>
      <c r="E69" s="458">
        <f t="shared" ref="E69:F69" si="35">E$11</f>
        <v>0</v>
      </c>
      <c r="F69" s="459">
        <f t="shared" si="35"/>
        <v>0</v>
      </c>
      <c r="G69" s="451">
        <f t="shared" ref="G69:G74" si="36">+C69*E69</f>
        <v>0</v>
      </c>
      <c r="H69" s="451">
        <f t="shared" ref="H69:H74" si="37">+C69*F69</f>
        <v>0</v>
      </c>
      <c r="I69" s="451">
        <f t="shared" ref="I69:I74" si="38">+G69+H69</f>
        <v>0</v>
      </c>
      <c r="J69" s="313" t="s">
        <v>202</v>
      </c>
    </row>
    <row r="70" spans="1:10" x14ac:dyDescent="0.25">
      <c r="A70" s="252">
        <f>IF(C70&lt;&gt;"",1+MAX($A$6:A69),"")</f>
        <v>41</v>
      </c>
      <c r="B70" s="448" t="s">
        <v>203</v>
      </c>
      <c r="C70" s="447">
        <v>440</v>
      </c>
      <c r="D70" s="447" t="s">
        <v>18</v>
      </c>
      <c r="E70" s="458">
        <f t="shared" ref="E70:F70" si="39">E$23</f>
        <v>0</v>
      </c>
      <c r="F70" s="459">
        <f t="shared" si="39"/>
        <v>0</v>
      </c>
      <c r="G70" s="451">
        <f t="shared" si="36"/>
        <v>0</v>
      </c>
      <c r="H70" s="451">
        <f t="shared" si="37"/>
        <v>0</v>
      </c>
      <c r="I70" s="451">
        <f t="shared" si="38"/>
        <v>0</v>
      </c>
      <c r="J70" s="313" t="s">
        <v>204</v>
      </c>
    </row>
    <row r="71" spans="1:10" x14ac:dyDescent="0.25">
      <c r="A71" s="252">
        <f>IF(C71&lt;&gt;"",1+MAX($A$6:A70),"")</f>
        <v>42</v>
      </c>
      <c r="B71" s="448" t="s">
        <v>186</v>
      </c>
      <c r="C71" s="447">
        <v>80</v>
      </c>
      <c r="D71" s="447" t="s">
        <v>18</v>
      </c>
      <c r="E71" s="458">
        <f t="shared" ref="E71:F71" si="40">E$11</f>
        <v>0</v>
      </c>
      <c r="F71" s="459">
        <f t="shared" si="40"/>
        <v>0</v>
      </c>
      <c r="G71" s="451">
        <f t="shared" si="36"/>
        <v>0</v>
      </c>
      <c r="H71" s="451">
        <f t="shared" si="37"/>
        <v>0</v>
      </c>
      <c r="I71" s="451">
        <f t="shared" si="38"/>
        <v>0</v>
      </c>
      <c r="J71" s="313" t="s">
        <v>205</v>
      </c>
    </row>
    <row r="72" spans="1:10" x14ac:dyDescent="0.25">
      <c r="A72" s="252">
        <f>IF(C72&lt;&gt;"",1+MAX($A$6:A71),"")</f>
        <v>43</v>
      </c>
      <c r="B72" s="448" t="s">
        <v>206</v>
      </c>
      <c r="C72" s="447">
        <v>115</v>
      </c>
      <c r="D72" s="447" t="s">
        <v>18</v>
      </c>
      <c r="E72" s="458">
        <f t="shared" ref="E72:F72" si="41">E$25</f>
        <v>0</v>
      </c>
      <c r="F72" s="459">
        <f t="shared" si="41"/>
        <v>0</v>
      </c>
      <c r="G72" s="451">
        <f t="shared" si="36"/>
        <v>0</v>
      </c>
      <c r="H72" s="451">
        <f t="shared" si="37"/>
        <v>0</v>
      </c>
      <c r="I72" s="451">
        <f t="shared" si="38"/>
        <v>0</v>
      </c>
      <c r="J72" s="313" t="s">
        <v>207</v>
      </c>
    </row>
    <row r="73" spans="1:10" x14ac:dyDescent="0.25">
      <c r="A73" s="252">
        <f>IF(C73&lt;&gt;"",1+MAX($A$6:A72),"")</f>
        <v>44</v>
      </c>
      <c r="B73" s="448" t="s">
        <v>208</v>
      </c>
      <c r="C73" s="447">
        <v>2</v>
      </c>
      <c r="D73" s="447" t="s">
        <v>18</v>
      </c>
      <c r="E73" s="458">
        <f t="shared" ref="E73:F73" si="42">E$26</f>
        <v>0</v>
      </c>
      <c r="F73" s="459">
        <f t="shared" si="42"/>
        <v>0</v>
      </c>
      <c r="G73" s="451">
        <f t="shared" si="36"/>
        <v>0</v>
      </c>
      <c r="H73" s="451">
        <f t="shared" si="37"/>
        <v>0</v>
      </c>
      <c r="I73" s="451">
        <f t="shared" si="38"/>
        <v>0</v>
      </c>
      <c r="J73" s="313" t="s">
        <v>209</v>
      </c>
    </row>
    <row r="74" spans="1:10" x14ac:dyDescent="0.25">
      <c r="A74" s="252">
        <f>IF(C74&lt;&gt;"",1+MAX($A$6:A73),"")</f>
        <v>45</v>
      </c>
      <c r="B74" s="448" t="s">
        <v>210</v>
      </c>
      <c r="C74" s="447">
        <v>4</v>
      </c>
      <c r="D74" s="447" t="s">
        <v>18</v>
      </c>
      <c r="E74" s="458">
        <f t="shared" ref="E74:F74" si="43">E$27</f>
        <v>0</v>
      </c>
      <c r="F74" s="459">
        <f t="shared" si="43"/>
        <v>0</v>
      </c>
      <c r="G74" s="451">
        <f t="shared" si="36"/>
        <v>0</v>
      </c>
      <c r="H74" s="451">
        <f t="shared" si="37"/>
        <v>0</v>
      </c>
      <c r="I74" s="451">
        <f t="shared" si="38"/>
        <v>0</v>
      </c>
      <c r="J74" s="313" t="s">
        <v>211</v>
      </c>
    </row>
    <row r="75" spans="1:10" ht="16.5" thickBot="1" x14ac:dyDescent="0.3">
      <c r="A75" s="252" t="str">
        <f>IF(C75&lt;&gt;"",1+MAX($A$6:A74),"")</f>
        <v/>
      </c>
      <c r="B75" s="448"/>
      <c r="C75" s="447"/>
      <c r="D75" s="447"/>
      <c r="E75" s="448"/>
      <c r="F75" s="448"/>
      <c r="G75" s="448"/>
      <c r="H75" s="448"/>
      <c r="I75" s="448"/>
      <c r="J75" s="313"/>
    </row>
    <row r="76" spans="1:10" ht="16.5" thickBot="1" x14ac:dyDescent="0.3">
      <c r="A76" s="252" t="str">
        <f>IF(C76&lt;&gt;"",1+MAX($A$6:A75),"")</f>
        <v/>
      </c>
      <c r="B76" s="446" t="s">
        <v>234</v>
      </c>
      <c r="C76" s="447"/>
      <c r="D76" s="447"/>
      <c r="E76" s="448"/>
      <c r="F76" s="448"/>
      <c r="G76" s="448"/>
      <c r="H76" s="448"/>
      <c r="I76" s="448"/>
      <c r="J76" s="313"/>
    </row>
    <row r="77" spans="1:10" x14ac:dyDescent="0.25">
      <c r="A77" s="252" t="str">
        <f>IF(C77&lt;&gt;"",1+MAX($A$6:A76),"")</f>
        <v/>
      </c>
      <c r="B77" s="444"/>
      <c r="C77" s="447"/>
      <c r="D77" s="447"/>
      <c r="E77" s="448"/>
      <c r="F77" s="448"/>
      <c r="G77" s="448"/>
      <c r="H77" s="448"/>
      <c r="I77" s="448"/>
      <c r="J77" s="313"/>
    </row>
    <row r="78" spans="1:10" x14ac:dyDescent="0.25">
      <c r="A78" s="252">
        <f>IF(C78&lt;&gt;"",1+MAX($A$6:A77),"")</f>
        <v>46</v>
      </c>
      <c r="B78" s="448" t="s">
        <v>184</v>
      </c>
      <c r="C78" s="447">
        <v>29</v>
      </c>
      <c r="D78" s="447" t="s">
        <v>18</v>
      </c>
      <c r="E78" s="458">
        <f t="shared" ref="E78:F78" si="44">E$10</f>
        <v>0</v>
      </c>
      <c r="F78" s="459">
        <f t="shared" si="44"/>
        <v>0</v>
      </c>
      <c r="G78" s="451">
        <f t="shared" ref="G78:G84" si="45">+C78*E78</f>
        <v>0</v>
      </c>
      <c r="H78" s="451">
        <f t="shared" ref="H78:H84" si="46">+C78*F78</f>
        <v>0</v>
      </c>
      <c r="I78" s="451">
        <f t="shared" ref="I78:I84" si="47">+G78+H78</f>
        <v>0</v>
      </c>
      <c r="J78" s="313" t="s">
        <v>202</v>
      </c>
    </row>
    <row r="79" spans="1:10" x14ac:dyDescent="0.25">
      <c r="A79" s="252">
        <f>IF(C79&lt;&gt;"",1+MAX($A$6:A78),"")</f>
        <v>47</v>
      </c>
      <c r="B79" s="448" t="s">
        <v>186</v>
      </c>
      <c r="C79" s="447">
        <v>18</v>
      </c>
      <c r="D79" s="447" t="s">
        <v>18</v>
      </c>
      <c r="E79" s="458">
        <f t="shared" ref="E79:F79" si="48">E$11</f>
        <v>0</v>
      </c>
      <c r="F79" s="459">
        <f t="shared" si="48"/>
        <v>0</v>
      </c>
      <c r="G79" s="451">
        <f t="shared" si="45"/>
        <v>0</v>
      </c>
      <c r="H79" s="451">
        <f t="shared" si="46"/>
        <v>0</v>
      </c>
      <c r="I79" s="451">
        <f t="shared" si="47"/>
        <v>0</v>
      </c>
      <c r="J79" s="313" t="s">
        <v>202</v>
      </c>
    </row>
    <row r="80" spans="1:10" x14ac:dyDescent="0.25">
      <c r="A80" s="252">
        <f>IF(C80&lt;&gt;"",1+MAX($A$6:A79),"")</f>
        <v>48</v>
      </c>
      <c r="B80" s="448" t="s">
        <v>213</v>
      </c>
      <c r="C80" s="447">
        <v>749</v>
      </c>
      <c r="D80" s="447" t="s">
        <v>18</v>
      </c>
      <c r="E80" s="458">
        <f t="shared" ref="E80:F80" si="49">E$33</f>
        <v>0</v>
      </c>
      <c r="F80" s="459">
        <f t="shared" si="49"/>
        <v>0</v>
      </c>
      <c r="G80" s="451">
        <f t="shared" si="45"/>
        <v>0</v>
      </c>
      <c r="H80" s="451">
        <f t="shared" si="46"/>
        <v>0</v>
      </c>
      <c r="I80" s="451">
        <f t="shared" si="47"/>
        <v>0</v>
      </c>
      <c r="J80" s="313" t="s">
        <v>204</v>
      </c>
    </row>
    <row r="81" spans="1:10" x14ac:dyDescent="0.25">
      <c r="A81" s="252">
        <f>IF(C81&lt;&gt;"",1+MAX($A$6:A80),"")</f>
        <v>49</v>
      </c>
      <c r="B81" s="448" t="s">
        <v>203</v>
      </c>
      <c r="C81" s="447">
        <v>391</v>
      </c>
      <c r="D81" s="447" t="s">
        <v>18</v>
      </c>
      <c r="E81" s="458">
        <f t="shared" ref="E81:F81" si="50">E$23</f>
        <v>0</v>
      </c>
      <c r="F81" s="459">
        <f t="shared" si="50"/>
        <v>0</v>
      </c>
      <c r="G81" s="451">
        <f t="shared" si="45"/>
        <v>0</v>
      </c>
      <c r="H81" s="451">
        <f t="shared" si="46"/>
        <v>0</v>
      </c>
      <c r="I81" s="451">
        <f t="shared" si="47"/>
        <v>0</v>
      </c>
      <c r="J81" s="313" t="s">
        <v>214</v>
      </c>
    </row>
    <row r="82" spans="1:10" x14ac:dyDescent="0.25">
      <c r="A82" s="252">
        <f>IF(C82&lt;&gt;"",1+MAX($A$6:A81),"")</f>
        <v>50</v>
      </c>
      <c r="B82" s="448" t="s">
        <v>184</v>
      </c>
      <c r="C82" s="447">
        <v>87</v>
      </c>
      <c r="D82" s="447" t="s">
        <v>18</v>
      </c>
      <c r="E82" s="458">
        <f t="shared" ref="E82:F82" si="51">E$10</f>
        <v>0</v>
      </c>
      <c r="F82" s="459">
        <f t="shared" si="51"/>
        <v>0</v>
      </c>
      <c r="G82" s="451">
        <f t="shared" si="45"/>
        <v>0</v>
      </c>
      <c r="H82" s="451">
        <f t="shared" si="46"/>
        <v>0</v>
      </c>
      <c r="I82" s="451">
        <f t="shared" si="47"/>
        <v>0</v>
      </c>
      <c r="J82" s="313" t="s">
        <v>205</v>
      </c>
    </row>
    <row r="83" spans="1:10" x14ac:dyDescent="0.25">
      <c r="A83" s="252">
        <f>IF(C83&lt;&gt;"",1+MAX($A$6:A82),"")</f>
        <v>51</v>
      </c>
      <c r="B83" s="448" t="s">
        <v>186</v>
      </c>
      <c r="C83" s="447">
        <v>54</v>
      </c>
      <c r="D83" s="447" t="s">
        <v>18</v>
      </c>
      <c r="E83" s="458">
        <f t="shared" ref="E83:F83" si="52">E$11</f>
        <v>0</v>
      </c>
      <c r="F83" s="459">
        <f t="shared" si="52"/>
        <v>0</v>
      </c>
      <c r="G83" s="451">
        <f t="shared" si="45"/>
        <v>0</v>
      </c>
      <c r="H83" s="451">
        <f t="shared" si="46"/>
        <v>0</v>
      </c>
      <c r="I83" s="451">
        <f t="shared" si="47"/>
        <v>0</v>
      </c>
      <c r="J83" s="313" t="s">
        <v>205</v>
      </c>
    </row>
    <row r="84" spans="1:10" x14ac:dyDescent="0.25">
      <c r="A84" s="252">
        <f>IF(C84&lt;&gt;"",1+MAX($A$6:A83),"")</f>
        <v>52</v>
      </c>
      <c r="B84" s="448" t="s">
        <v>215</v>
      </c>
      <c r="C84" s="447">
        <v>48</v>
      </c>
      <c r="D84" s="447" t="s">
        <v>18</v>
      </c>
      <c r="E84" s="458">
        <f t="shared" ref="E84:F84" si="53">E$25</f>
        <v>0</v>
      </c>
      <c r="F84" s="459">
        <f t="shared" si="53"/>
        <v>0</v>
      </c>
      <c r="G84" s="451">
        <f t="shared" si="45"/>
        <v>0</v>
      </c>
      <c r="H84" s="451">
        <f t="shared" si="46"/>
        <v>0</v>
      </c>
      <c r="I84" s="451">
        <f t="shared" si="47"/>
        <v>0</v>
      </c>
      <c r="J84" s="313" t="s">
        <v>216</v>
      </c>
    </row>
    <row r="85" spans="1:10" ht="16.5" thickBot="1" x14ac:dyDescent="0.3">
      <c r="A85" s="252" t="str">
        <f>IF(C85&lt;&gt;"",1+MAX($A$6:A84),"")</f>
        <v/>
      </c>
      <c r="B85" s="448"/>
      <c r="C85" s="447"/>
      <c r="D85" s="447"/>
      <c r="E85" s="448"/>
      <c r="F85" s="448"/>
      <c r="G85" s="448"/>
      <c r="H85" s="448"/>
      <c r="I85" s="448"/>
      <c r="J85" s="313"/>
    </row>
    <row r="86" spans="1:10" ht="16.5" thickBot="1" x14ac:dyDescent="0.3">
      <c r="A86" s="252" t="str">
        <f>IF(C86&lt;&gt;"",1+MAX($A$6:A85),"")</f>
        <v/>
      </c>
      <c r="B86" s="446" t="s">
        <v>235</v>
      </c>
      <c r="C86" s="447"/>
      <c r="D86" s="447"/>
      <c r="E86" s="448"/>
      <c r="F86" s="448"/>
      <c r="G86" s="448"/>
      <c r="H86" s="448"/>
      <c r="I86" s="448"/>
      <c r="J86" s="313"/>
    </row>
    <row r="87" spans="1:10" x14ac:dyDescent="0.25">
      <c r="A87" s="252" t="str">
        <f>IF(C87&lt;&gt;"",1+MAX($A$6:A86),"")</f>
        <v/>
      </c>
      <c r="B87" s="444"/>
      <c r="C87" s="447"/>
      <c r="D87" s="447"/>
      <c r="E87" s="448"/>
      <c r="F87" s="448"/>
      <c r="G87" s="448"/>
      <c r="H87" s="448"/>
      <c r="I87" s="448"/>
      <c r="J87" s="313"/>
    </row>
    <row r="88" spans="1:10" x14ac:dyDescent="0.25">
      <c r="A88" s="252">
        <f>IF(C88&lt;&gt;"",1+MAX($A$6:A87),"")</f>
        <v>53</v>
      </c>
      <c r="B88" s="448" t="s">
        <v>184</v>
      </c>
      <c r="C88" s="447">
        <v>2</v>
      </c>
      <c r="D88" s="447" t="s">
        <v>18</v>
      </c>
      <c r="E88" s="458">
        <f t="shared" ref="E88:F88" si="54">E$10</f>
        <v>0</v>
      </c>
      <c r="F88" s="459">
        <f t="shared" si="54"/>
        <v>0</v>
      </c>
      <c r="G88" s="451">
        <f>+C88*E88</f>
        <v>0</v>
      </c>
      <c r="H88" s="451">
        <f>+C88*F88</f>
        <v>0</v>
      </c>
      <c r="I88" s="451">
        <f t="shared" ref="I88:I90" si="55">+G88+H88</f>
        <v>0</v>
      </c>
      <c r="J88" s="313" t="s">
        <v>202</v>
      </c>
    </row>
    <row r="89" spans="1:10" x14ac:dyDescent="0.25">
      <c r="A89" s="252">
        <f>IF(C89&lt;&gt;"",1+MAX($A$6:A88),"")</f>
        <v>54</v>
      </c>
      <c r="B89" s="448" t="s">
        <v>213</v>
      </c>
      <c r="C89" s="447">
        <v>37</v>
      </c>
      <c r="D89" s="447" t="s">
        <v>18</v>
      </c>
      <c r="E89" s="458">
        <f t="shared" ref="E89:F89" si="56">E$33</f>
        <v>0</v>
      </c>
      <c r="F89" s="459">
        <f t="shared" si="56"/>
        <v>0</v>
      </c>
      <c r="G89" s="451">
        <f>+C89*E89</f>
        <v>0</v>
      </c>
      <c r="H89" s="451">
        <f>+C89*F89</f>
        <v>0</v>
      </c>
      <c r="I89" s="451">
        <f t="shared" si="55"/>
        <v>0</v>
      </c>
      <c r="J89" s="313" t="s">
        <v>204</v>
      </c>
    </row>
    <row r="90" spans="1:10" x14ac:dyDescent="0.25">
      <c r="A90" s="252">
        <f>IF(C90&lt;&gt;"",1+MAX($A$6:A89),"")</f>
        <v>55</v>
      </c>
      <c r="B90" s="448" t="s">
        <v>184</v>
      </c>
      <c r="C90" s="447">
        <v>6</v>
      </c>
      <c r="D90" s="447" t="s">
        <v>18</v>
      </c>
      <c r="E90" s="458">
        <f t="shared" ref="E90:F90" si="57">E$10</f>
        <v>0</v>
      </c>
      <c r="F90" s="459">
        <f t="shared" si="57"/>
        <v>0</v>
      </c>
      <c r="G90" s="451">
        <f>+C90*E90</f>
        <v>0</v>
      </c>
      <c r="H90" s="451">
        <f>+C90*F90</f>
        <v>0</v>
      </c>
      <c r="I90" s="451">
        <f t="shared" si="55"/>
        <v>0</v>
      </c>
      <c r="J90" s="313" t="s">
        <v>205</v>
      </c>
    </row>
    <row r="91" spans="1:10" ht="16.5" thickBot="1" x14ac:dyDescent="0.3">
      <c r="A91" s="252" t="str">
        <f>IF(C91&lt;&gt;"",1+MAX($A$6:A90),"")</f>
        <v/>
      </c>
      <c r="B91" s="448"/>
      <c r="C91" s="447"/>
      <c r="D91" s="447"/>
      <c r="E91" s="448"/>
      <c r="F91" s="448"/>
      <c r="G91" s="448"/>
      <c r="H91" s="448"/>
      <c r="I91" s="448"/>
      <c r="J91" s="313"/>
    </row>
    <row r="92" spans="1:10" ht="16.5" thickBot="1" x14ac:dyDescent="0.3">
      <c r="A92" s="252" t="str">
        <f>IF(C92&lt;&gt;"",1+MAX($A$6:A91),"")</f>
        <v/>
      </c>
      <c r="B92" s="446" t="s">
        <v>236</v>
      </c>
      <c r="C92" s="447"/>
      <c r="D92" s="447"/>
      <c r="E92" s="448"/>
      <c r="F92" s="448"/>
      <c r="G92" s="448"/>
      <c r="H92" s="448"/>
      <c r="I92" s="448"/>
      <c r="J92" s="313"/>
    </row>
    <row r="93" spans="1:10" x14ac:dyDescent="0.25">
      <c r="A93" s="252" t="str">
        <f>IF(C93&lt;&gt;"",1+MAX($A$6:A92),"")</f>
        <v/>
      </c>
      <c r="B93" s="444"/>
      <c r="C93" s="447"/>
      <c r="D93" s="447"/>
      <c r="E93" s="448"/>
      <c r="F93" s="448"/>
      <c r="G93" s="448"/>
      <c r="H93" s="448"/>
      <c r="I93" s="448"/>
      <c r="J93" s="313"/>
    </row>
    <row r="94" spans="1:10" x14ac:dyDescent="0.25">
      <c r="A94" s="252">
        <f>IF(C94&lt;&gt;"",1+MAX($A$6:A93),"")</f>
        <v>56</v>
      </c>
      <c r="B94" s="448" t="s">
        <v>186</v>
      </c>
      <c r="C94" s="447">
        <v>23</v>
      </c>
      <c r="D94" s="447" t="s">
        <v>18</v>
      </c>
      <c r="E94" s="458">
        <f t="shared" ref="E94:F94" si="58">E$11</f>
        <v>0</v>
      </c>
      <c r="F94" s="459">
        <f t="shared" si="58"/>
        <v>0</v>
      </c>
      <c r="G94" s="451">
        <f t="shared" ref="G94:G100" si="59">+C94*E94</f>
        <v>0</v>
      </c>
      <c r="H94" s="451">
        <f t="shared" ref="H94:H100" si="60">+C94*F94</f>
        <v>0</v>
      </c>
      <c r="I94" s="451">
        <f t="shared" ref="I94:I100" si="61">+G94+H94</f>
        <v>0</v>
      </c>
      <c r="J94" s="313" t="s">
        <v>202</v>
      </c>
    </row>
    <row r="95" spans="1:10" x14ac:dyDescent="0.25">
      <c r="A95" s="252">
        <f>IF(C95&lt;&gt;"",1+MAX($A$6:A94),"")</f>
        <v>57</v>
      </c>
      <c r="B95" s="448" t="s">
        <v>237</v>
      </c>
      <c r="C95" s="447">
        <v>79</v>
      </c>
      <c r="D95" s="447" t="s">
        <v>18</v>
      </c>
      <c r="E95" s="449">
        <v>0</v>
      </c>
      <c r="F95" s="450">
        <v>0</v>
      </c>
      <c r="G95" s="451">
        <f t="shared" si="59"/>
        <v>0</v>
      </c>
      <c r="H95" s="451">
        <f t="shared" si="60"/>
        <v>0</v>
      </c>
      <c r="I95" s="451">
        <f t="shared" si="61"/>
        <v>0</v>
      </c>
      <c r="J95" s="313" t="s">
        <v>204</v>
      </c>
    </row>
    <row r="96" spans="1:10" x14ac:dyDescent="0.25">
      <c r="A96" s="252">
        <f>IF(C96&lt;&gt;"",1+MAX($A$6:A95),"")</f>
        <v>58</v>
      </c>
      <c r="B96" s="448" t="s">
        <v>238</v>
      </c>
      <c r="C96" s="447">
        <v>71</v>
      </c>
      <c r="D96" s="447" t="s">
        <v>18</v>
      </c>
      <c r="E96" s="449">
        <v>0</v>
      </c>
      <c r="F96" s="450">
        <v>0</v>
      </c>
      <c r="G96" s="451">
        <f t="shared" si="59"/>
        <v>0</v>
      </c>
      <c r="H96" s="451">
        <f t="shared" si="60"/>
        <v>0</v>
      </c>
      <c r="I96" s="451">
        <f t="shared" si="61"/>
        <v>0</v>
      </c>
      <c r="J96" s="313" t="s">
        <v>204</v>
      </c>
    </row>
    <row r="97" spans="1:10" x14ac:dyDescent="0.25">
      <c r="A97" s="252">
        <f>IF(C97&lt;&gt;"",1+MAX($A$6:A96),"")</f>
        <v>59</v>
      </c>
      <c r="B97" s="448" t="s">
        <v>186</v>
      </c>
      <c r="C97" s="447">
        <v>46</v>
      </c>
      <c r="D97" s="447" t="s">
        <v>18</v>
      </c>
      <c r="E97" s="458">
        <f t="shared" ref="E97:F97" si="62">E$11</f>
        <v>0</v>
      </c>
      <c r="F97" s="459">
        <f t="shared" si="62"/>
        <v>0</v>
      </c>
      <c r="G97" s="451">
        <f t="shared" si="59"/>
        <v>0</v>
      </c>
      <c r="H97" s="451">
        <f t="shared" si="60"/>
        <v>0</v>
      </c>
      <c r="I97" s="451">
        <f t="shared" si="61"/>
        <v>0</v>
      </c>
      <c r="J97" s="313" t="s">
        <v>239</v>
      </c>
    </row>
    <row r="98" spans="1:10" x14ac:dyDescent="0.25">
      <c r="A98" s="252">
        <f>IF(C98&lt;&gt;"",1+MAX($A$6:A97),"")</f>
        <v>60</v>
      </c>
      <c r="B98" s="448" t="s">
        <v>188</v>
      </c>
      <c r="C98" s="447">
        <v>25</v>
      </c>
      <c r="D98" s="447" t="s">
        <v>18</v>
      </c>
      <c r="E98" s="458">
        <f t="shared" ref="E98:F98" si="63">E$12</f>
        <v>0</v>
      </c>
      <c r="F98" s="459">
        <f t="shared" si="63"/>
        <v>0</v>
      </c>
      <c r="G98" s="451">
        <f t="shared" si="59"/>
        <v>0</v>
      </c>
      <c r="H98" s="451">
        <f t="shared" si="60"/>
        <v>0</v>
      </c>
      <c r="I98" s="451">
        <f t="shared" si="61"/>
        <v>0</v>
      </c>
      <c r="J98" s="313" t="s">
        <v>239</v>
      </c>
    </row>
    <row r="99" spans="1:10" x14ac:dyDescent="0.25">
      <c r="A99" s="252">
        <f>IF(C99&lt;&gt;"",1+MAX($A$6:A98),"")</f>
        <v>61</v>
      </c>
      <c r="B99" s="448" t="s">
        <v>240</v>
      </c>
      <c r="C99" s="447">
        <v>6</v>
      </c>
      <c r="D99" s="447" t="s">
        <v>18</v>
      </c>
      <c r="E99" s="449">
        <v>0</v>
      </c>
      <c r="F99" s="450">
        <v>0</v>
      </c>
      <c r="G99" s="451">
        <f t="shared" si="59"/>
        <v>0</v>
      </c>
      <c r="H99" s="451">
        <f t="shared" si="60"/>
        <v>0</v>
      </c>
      <c r="I99" s="451">
        <f t="shared" si="61"/>
        <v>0</v>
      </c>
      <c r="J99" s="313" t="s">
        <v>239</v>
      </c>
    </row>
    <row r="100" spans="1:10" x14ac:dyDescent="0.25">
      <c r="A100" s="252">
        <f>IF(C100&lt;&gt;"",1+MAX($A$6:A99),"")</f>
        <v>62</v>
      </c>
      <c r="B100" s="448" t="s">
        <v>206</v>
      </c>
      <c r="C100" s="447">
        <v>64</v>
      </c>
      <c r="D100" s="447" t="s">
        <v>18</v>
      </c>
      <c r="E100" s="458">
        <f t="shared" ref="E100:F100" si="64">E$25</f>
        <v>0</v>
      </c>
      <c r="F100" s="459">
        <f t="shared" si="64"/>
        <v>0</v>
      </c>
      <c r="G100" s="451">
        <f t="shared" si="59"/>
        <v>0</v>
      </c>
      <c r="H100" s="451">
        <f t="shared" si="60"/>
        <v>0</v>
      </c>
      <c r="I100" s="451">
        <f t="shared" si="61"/>
        <v>0</v>
      </c>
      <c r="J100" s="313" t="s">
        <v>207</v>
      </c>
    </row>
    <row r="101" spans="1:10" ht="16.5" thickBot="1" x14ac:dyDescent="0.3">
      <c r="A101" s="252" t="str">
        <f>IF(C101&lt;&gt;"",1+MAX($A$6:A100),"")</f>
        <v/>
      </c>
      <c r="B101" s="448"/>
      <c r="C101" s="447"/>
      <c r="D101" s="447"/>
      <c r="E101" s="448"/>
      <c r="F101" s="448"/>
      <c r="G101" s="448"/>
      <c r="H101" s="448"/>
      <c r="I101" s="448"/>
      <c r="J101" s="313"/>
    </row>
    <row r="102" spans="1:10" ht="16.5" thickBot="1" x14ac:dyDescent="0.3">
      <c r="A102" s="252" t="str">
        <f>IF(C102&lt;&gt;"",1+MAX($A$6:A101),"")</f>
        <v/>
      </c>
      <c r="B102" s="446" t="s">
        <v>241</v>
      </c>
      <c r="C102" s="447"/>
      <c r="D102" s="447"/>
      <c r="E102" s="448"/>
      <c r="F102" s="448"/>
      <c r="G102" s="448"/>
      <c r="H102" s="448"/>
      <c r="I102" s="448"/>
      <c r="J102" s="313"/>
    </row>
    <row r="103" spans="1:10" x14ac:dyDescent="0.25">
      <c r="A103" s="252" t="str">
        <f>IF(C103&lt;&gt;"",1+MAX($A$6:A102),"")</f>
        <v/>
      </c>
      <c r="B103" s="444"/>
      <c r="C103" s="447"/>
      <c r="D103" s="447"/>
      <c r="E103" s="448"/>
      <c r="F103" s="448"/>
      <c r="G103" s="448"/>
      <c r="H103" s="448"/>
      <c r="I103" s="448"/>
      <c r="J103" s="313"/>
    </row>
    <row r="104" spans="1:10" x14ac:dyDescent="0.25">
      <c r="A104" s="252">
        <f>IF(C104&lt;&gt;"",1+MAX($A$6:A103),"")</f>
        <v>63</v>
      </c>
      <c r="B104" s="448" t="s">
        <v>219</v>
      </c>
      <c r="C104" s="447">
        <v>16</v>
      </c>
      <c r="D104" s="447" t="s">
        <v>18</v>
      </c>
      <c r="E104" s="458">
        <f t="shared" ref="E104:F104" si="65">E$47</f>
        <v>0</v>
      </c>
      <c r="F104" s="459">
        <f t="shared" si="65"/>
        <v>0</v>
      </c>
      <c r="G104" s="451">
        <f>+C104*E104</f>
        <v>0</v>
      </c>
      <c r="H104" s="451">
        <f>+C104*F104</f>
        <v>0</v>
      </c>
      <c r="I104" s="451">
        <f t="shared" ref="I104:I106" si="66">+G104+H104</f>
        <v>0</v>
      </c>
      <c r="J104" s="313" t="s">
        <v>220</v>
      </c>
    </row>
    <row r="105" spans="1:10" x14ac:dyDescent="0.25">
      <c r="A105" s="252">
        <f>IF(C105&lt;&gt;"",1+MAX($A$6:A104),"")</f>
        <v>64</v>
      </c>
      <c r="B105" s="448" t="s">
        <v>221</v>
      </c>
      <c r="C105" s="447">
        <v>20</v>
      </c>
      <c r="D105" s="447" t="s">
        <v>13</v>
      </c>
      <c r="E105" s="458">
        <f t="shared" ref="E105:F105" si="67">E$48</f>
        <v>0</v>
      </c>
      <c r="F105" s="459">
        <f t="shared" si="67"/>
        <v>0</v>
      </c>
      <c r="G105" s="451">
        <f>+C105*E105</f>
        <v>0</v>
      </c>
      <c r="H105" s="451">
        <f>+C105*F105</f>
        <v>0</v>
      </c>
      <c r="I105" s="451">
        <f t="shared" si="66"/>
        <v>0</v>
      </c>
      <c r="J105" s="313" t="s">
        <v>222</v>
      </c>
    </row>
    <row r="106" spans="1:10" x14ac:dyDescent="0.25">
      <c r="A106" s="252">
        <f>IF(C106&lt;&gt;"",1+MAX($A$6:A105),"")</f>
        <v>65</v>
      </c>
      <c r="B106" s="448" t="s">
        <v>223</v>
      </c>
      <c r="C106" s="447">
        <v>5</v>
      </c>
      <c r="D106" s="447" t="s">
        <v>18</v>
      </c>
      <c r="E106" s="458">
        <f t="shared" ref="E106:F106" si="68">E$49</f>
        <v>0</v>
      </c>
      <c r="F106" s="459">
        <f t="shared" si="68"/>
        <v>0</v>
      </c>
      <c r="G106" s="451">
        <f>+C106*E106</f>
        <v>0</v>
      </c>
      <c r="H106" s="451">
        <f>+C106*F106</f>
        <v>0</v>
      </c>
      <c r="I106" s="451">
        <f t="shared" si="66"/>
        <v>0</v>
      </c>
      <c r="J106" s="313" t="s">
        <v>224</v>
      </c>
    </row>
    <row r="107" spans="1:10" ht="16.5" thickBot="1" x14ac:dyDescent="0.3">
      <c r="A107" s="252" t="str">
        <f>IF(C107&lt;&gt;"",1+MAX($A$6:A106),"")</f>
        <v/>
      </c>
      <c r="B107" s="448"/>
      <c r="C107" s="447"/>
      <c r="D107" s="447"/>
      <c r="E107" s="448"/>
      <c r="F107" s="448"/>
      <c r="G107" s="448"/>
      <c r="H107" s="448"/>
      <c r="I107" s="448"/>
      <c r="J107" s="313"/>
    </row>
    <row r="108" spans="1:10" ht="16.5" thickBot="1" x14ac:dyDescent="0.3">
      <c r="A108" s="252" t="str">
        <f>IF(C108&lt;&gt;"",1+MAX($A$6:A107),"")</f>
        <v/>
      </c>
      <c r="B108" s="446" t="s">
        <v>242</v>
      </c>
      <c r="C108" s="447"/>
      <c r="D108" s="447"/>
      <c r="E108" s="448"/>
      <c r="F108" s="448"/>
      <c r="G108" s="448"/>
      <c r="H108" s="448"/>
      <c r="I108" s="448"/>
      <c r="J108" s="313"/>
    </row>
    <row r="109" spans="1:10" x14ac:dyDescent="0.25">
      <c r="A109" s="252" t="str">
        <f>IF(C109&lt;&gt;"",1+MAX($A$6:A108),"")</f>
        <v/>
      </c>
      <c r="B109" s="444"/>
      <c r="C109" s="447"/>
      <c r="D109" s="447"/>
      <c r="E109" s="448"/>
      <c r="F109" s="448"/>
      <c r="G109" s="448"/>
      <c r="H109" s="448"/>
      <c r="I109" s="448"/>
      <c r="J109" s="313"/>
    </row>
    <row r="110" spans="1:10" x14ac:dyDescent="0.25">
      <c r="A110" s="252">
        <f>IF(C110&lt;&gt;"",1+MAX($A$6:A109),"")</f>
        <v>66</v>
      </c>
      <c r="B110" s="448" t="s">
        <v>219</v>
      </c>
      <c r="C110" s="447">
        <v>1</v>
      </c>
      <c r="D110" s="447" t="s">
        <v>18</v>
      </c>
      <c r="E110" s="458">
        <f t="shared" ref="E110:F110" si="69">E$47</f>
        <v>0</v>
      </c>
      <c r="F110" s="459">
        <f t="shared" si="69"/>
        <v>0</v>
      </c>
      <c r="G110" s="451">
        <f>+C110*E110</f>
        <v>0</v>
      </c>
      <c r="H110" s="451">
        <f>+C110*F110</f>
        <v>0</v>
      </c>
      <c r="I110" s="451">
        <f t="shared" ref="I110:I112" si="70">+G110+H110</f>
        <v>0</v>
      </c>
      <c r="J110" s="313" t="s">
        <v>220</v>
      </c>
    </row>
    <row r="111" spans="1:10" x14ac:dyDescent="0.25">
      <c r="A111" s="252">
        <f>IF(C111&lt;&gt;"",1+MAX($A$6:A110),"")</f>
        <v>67</v>
      </c>
      <c r="B111" s="448" t="s">
        <v>226</v>
      </c>
      <c r="C111" s="447">
        <v>8</v>
      </c>
      <c r="D111" s="447" t="s">
        <v>13</v>
      </c>
      <c r="E111" s="458">
        <f t="shared" ref="E111:F111" si="71">E$48</f>
        <v>0</v>
      </c>
      <c r="F111" s="459">
        <f t="shared" si="71"/>
        <v>0</v>
      </c>
      <c r="G111" s="451">
        <f>+C111*E111</f>
        <v>0</v>
      </c>
      <c r="H111" s="451">
        <f>+C111*F111</f>
        <v>0</v>
      </c>
      <c r="I111" s="451">
        <f t="shared" si="70"/>
        <v>0</v>
      </c>
      <c r="J111" s="313" t="s">
        <v>222</v>
      </c>
    </row>
    <row r="112" spans="1:10" x14ac:dyDescent="0.25">
      <c r="A112" s="252">
        <f>IF(C112&lt;&gt;"",1+MAX($A$6:A111),"")</f>
        <v>68</v>
      </c>
      <c r="B112" s="448" t="s">
        <v>223</v>
      </c>
      <c r="C112" s="447">
        <v>1</v>
      </c>
      <c r="D112" s="447" t="s">
        <v>18</v>
      </c>
      <c r="E112" s="458">
        <f t="shared" ref="E112:F112" si="72">E$49</f>
        <v>0</v>
      </c>
      <c r="F112" s="459">
        <f t="shared" si="72"/>
        <v>0</v>
      </c>
      <c r="G112" s="451">
        <f>+C112*E112</f>
        <v>0</v>
      </c>
      <c r="H112" s="451">
        <f>+C112*F112</f>
        <v>0</v>
      </c>
      <c r="I112" s="451">
        <f t="shared" si="70"/>
        <v>0</v>
      </c>
      <c r="J112" s="313" t="s">
        <v>224</v>
      </c>
    </row>
    <row r="113" spans="1:10" ht="16.5" thickBot="1" x14ac:dyDescent="0.3">
      <c r="A113" s="252" t="str">
        <f>IF(C113&lt;&gt;"",1+MAX($A$6:A112),"")</f>
        <v/>
      </c>
      <c r="B113" s="448"/>
      <c r="C113" s="447"/>
      <c r="D113" s="447"/>
      <c r="E113" s="448"/>
      <c r="F113" s="448"/>
      <c r="G113" s="448"/>
      <c r="H113" s="448"/>
      <c r="I113" s="448"/>
      <c r="J113" s="313"/>
    </row>
    <row r="114" spans="1:10" ht="16.5" thickBot="1" x14ac:dyDescent="0.3">
      <c r="A114" s="252" t="str">
        <f>IF(C114&lt;&gt;"",1+MAX($A$6:A113),"")</f>
        <v/>
      </c>
      <c r="B114" s="446" t="s">
        <v>243</v>
      </c>
      <c r="C114" s="447"/>
      <c r="D114" s="447"/>
      <c r="E114" s="448"/>
      <c r="F114" s="448"/>
      <c r="G114" s="448"/>
      <c r="H114" s="448"/>
      <c r="I114" s="448"/>
      <c r="J114" s="313"/>
    </row>
    <row r="115" spans="1:10" x14ac:dyDescent="0.25">
      <c r="A115" s="252" t="str">
        <f>IF(C115&lt;&gt;"",1+MAX($A$6:A114),"")</f>
        <v/>
      </c>
      <c r="B115" s="444"/>
      <c r="C115" s="447"/>
      <c r="D115" s="447"/>
      <c r="E115" s="448"/>
      <c r="F115" s="448"/>
      <c r="G115" s="448"/>
      <c r="H115" s="448"/>
      <c r="I115" s="448"/>
      <c r="J115" s="313"/>
    </row>
    <row r="116" spans="1:10" x14ac:dyDescent="0.25">
      <c r="A116" s="252">
        <f>IF(C116&lt;&gt;"",1+MAX($A$6:A115),"")</f>
        <v>69</v>
      </c>
      <c r="B116" s="448" t="s">
        <v>186</v>
      </c>
      <c r="C116" s="447">
        <v>7</v>
      </c>
      <c r="D116" s="447" t="s">
        <v>18</v>
      </c>
      <c r="E116" s="458">
        <f t="shared" ref="E116:F116" si="73">E$11</f>
        <v>0</v>
      </c>
      <c r="F116" s="459">
        <f t="shared" si="73"/>
        <v>0</v>
      </c>
      <c r="G116" s="451">
        <f>+C116*E116</f>
        <v>0</v>
      </c>
      <c r="H116" s="451">
        <f>+C116*F116</f>
        <v>0</v>
      </c>
      <c r="I116" s="451">
        <f t="shared" ref="I116:I119" si="74">+G116+H116</f>
        <v>0</v>
      </c>
      <c r="J116" s="313" t="s">
        <v>244</v>
      </c>
    </row>
    <row r="117" spans="1:10" x14ac:dyDescent="0.25">
      <c r="A117" s="252">
        <f>IF(C117&lt;&gt;"",1+MAX($A$6:A116),"")</f>
        <v>70</v>
      </c>
      <c r="B117" s="448" t="s">
        <v>188</v>
      </c>
      <c r="C117" s="447">
        <v>14</v>
      </c>
      <c r="D117" s="447" t="s">
        <v>18</v>
      </c>
      <c r="E117" s="458">
        <f t="shared" ref="E117:F117" si="75">E$12</f>
        <v>0</v>
      </c>
      <c r="F117" s="459">
        <f t="shared" si="75"/>
        <v>0</v>
      </c>
      <c r="G117" s="451">
        <f>+C117*E117</f>
        <v>0</v>
      </c>
      <c r="H117" s="451">
        <f>+C117*F117</f>
        <v>0</v>
      </c>
      <c r="I117" s="451">
        <f t="shared" si="74"/>
        <v>0</v>
      </c>
      <c r="J117" s="313" t="s">
        <v>229</v>
      </c>
    </row>
    <row r="118" spans="1:10" x14ac:dyDescent="0.25">
      <c r="A118" s="252">
        <f>IF(C118&lt;&gt;"",1+MAX($A$6:A117),"")</f>
        <v>71</v>
      </c>
      <c r="B118" s="448" t="s">
        <v>193</v>
      </c>
      <c r="C118" s="447">
        <v>48</v>
      </c>
      <c r="D118" s="447" t="s">
        <v>13</v>
      </c>
      <c r="E118" s="458">
        <f t="shared" ref="E118:F118" si="76">E$15</f>
        <v>0</v>
      </c>
      <c r="F118" s="459">
        <f t="shared" si="76"/>
        <v>0</v>
      </c>
      <c r="G118" s="451">
        <f>+C118*E118</f>
        <v>0</v>
      </c>
      <c r="H118" s="451">
        <f>+C118*F118</f>
        <v>0</v>
      </c>
      <c r="I118" s="451">
        <f t="shared" si="74"/>
        <v>0</v>
      </c>
      <c r="J118" s="313" t="s">
        <v>232</v>
      </c>
    </row>
    <row r="119" spans="1:10" x14ac:dyDescent="0.25">
      <c r="A119" s="252">
        <f>IF(C119&lt;&gt;"",1+MAX($A$6:A118),"")</f>
        <v>72</v>
      </c>
      <c r="B119" s="448" t="s">
        <v>195</v>
      </c>
      <c r="C119" s="447">
        <v>10</v>
      </c>
      <c r="D119" s="447" t="s">
        <v>18</v>
      </c>
      <c r="E119" s="458">
        <f t="shared" ref="E119:F119" si="77">E$16</f>
        <v>0</v>
      </c>
      <c r="F119" s="459">
        <f t="shared" si="77"/>
        <v>0</v>
      </c>
      <c r="G119" s="451">
        <f>+C119*E119</f>
        <v>0</v>
      </c>
      <c r="H119" s="451">
        <f>+C119*F119</f>
        <v>0</v>
      </c>
      <c r="I119" s="451">
        <f t="shared" si="74"/>
        <v>0</v>
      </c>
      <c r="J119" s="313" t="s">
        <v>196</v>
      </c>
    </row>
    <row r="120" spans="1:10" ht="16.5" thickBot="1" x14ac:dyDescent="0.3">
      <c r="A120" s="252" t="str">
        <f>IF(C120&lt;&gt;"",1+MAX($A$6:A119),"")</f>
        <v/>
      </c>
      <c r="B120" s="448"/>
      <c r="C120" s="447"/>
      <c r="D120" s="447"/>
      <c r="E120" s="448"/>
      <c r="F120" s="448"/>
      <c r="G120" s="448"/>
      <c r="H120" s="448"/>
      <c r="I120" s="448"/>
      <c r="J120" s="313"/>
    </row>
    <row r="121" spans="1:10" ht="16.5" thickBot="1" x14ac:dyDescent="0.3">
      <c r="A121" s="252" t="str">
        <f>IF(C121&lt;&gt;"",1+MAX($A$6:A120),"")</f>
        <v/>
      </c>
      <c r="B121" s="446" t="s">
        <v>245</v>
      </c>
      <c r="C121" s="447"/>
      <c r="D121" s="447"/>
      <c r="E121" s="448"/>
      <c r="F121" s="448"/>
      <c r="G121" s="448"/>
      <c r="H121" s="448"/>
      <c r="I121" s="448"/>
      <c r="J121" s="313"/>
    </row>
    <row r="122" spans="1:10" x14ac:dyDescent="0.25">
      <c r="A122" s="252" t="str">
        <f>IF(C122&lt;&gt;"",1+MAX($A$6:A121),"")</f>
        <v/>
      </c>
      <c r="B122" s="444"/>
      <c r="C122" s="447"/>
      <c r="D122" s="447"/>
      <c r="E122" s="448"/>
      <c r="F122" s="448"/>
      <c r="G122" s="448"/>
      <c r="H122" s="448"/>
      <c r="I122" s="448"/>
      <c r="J122" s="313"/>
    </row>
    <row r="123" spans="1:10" x14ac:dyDescent="0.25">
      <c r="A123" s="252">
        <f>IF(C123&lt;&gt;"",1+MAX($A$6:A122),"")</f>
        <v>73</v>
      </c>
      <c r="B123" s="448" t="s">
        <v>246</v>
      </c>
      <c r="C123" s="447">
        <v>2</v>
      </c>
      <c r="D123" s="447" t="s">
        <v>18</v>
      </c>
      <c r="E123" s="458">
        <f t="shared" ref="E123:F123" si="78">E$11</f>
        <v>0</v>
      </c>
      <c r="F123" s="459">
        <f t="shared" si="78"/>
        <v>0</v>
      </c>
      <c r="G123" s="451">
        <f t="shared" ref="G123:G128" si="79">+C123*E123</f>
        <v>0</v>
      </c>
      <c r="H123" s="451">
        <f t="shared" ref="H123:H128" si="80">+C123*F123</f>
        <v>0</v>
      </c>
      <c r="I123" s="451">
        <f t="shared" ref="I123:I126" si="81">+G123+H123</f>
        <v>0</v>
      </c>
      <c r="J123" s="313" t="s">
        <v>247</v>
      </c>
    </row>
    <row r="124" spans="1:10" x14ac:dyDescent="0.25">
      <c r="A124" s="252">
        <f>IF(C124&lt;&gt;"",1+MAX($A$6:A123),"")</f>
        <v>74</v>
      </c>
      <c r="B124" s="448" t="s">
        <v>248</v>
      </c>
      <c r="C124" s="447">
        <v>3</v>
      </c>
      <c r="D124" s="447" t="s">
        <v>18</v>
      </c>
      <c r="E124" s="449">
        <v>0</v>
      </c>
      <c r="F124" s="450">
        <v>0</v>
      </c>
      <c r="G124" s="451">
        <f t="shared" si="79"/>
        <v>0</v>
      </c>
      <c r="H124" s="451">
        <f t="shared" si="80"/>
        <v>0</v>
      </c>
      <c r="I124" s="451">
        <f t="shared" si="81"/>
        <v>0</v>
      </c>
      <c r="J124" s="313" t="s">
        <v>249</v>
      </c>
    </row>
    <row r="125" spans="1:10" x14ac:dyDescent="0.25">
      <c r="A125" s="252">
        <f>IF(C125&lt;&gt;"",1+MAX($A$6:A124),"")</f>
        <v>75</v>
      </c>
      <c r="B125" s="448" t="s">
        <v>250</v>
      </c>
      <c r="C125" s="447">
        <v>4</v>
      </c>
      <c r="D125" s="447" t="s">
        <v>18</v>
      </c>
      <c r="E125" s="458">
        <f t="shared" ref="E125:F125" si="82">E$47</f>
        <v>0</v>
      </c>
      <c r="F125" s="459">
        <f t="shared" si="82"/>
        <v>0</v>
      </c>
      <c r="G125" s="451">
        <f t="shared" si="79"/>
        <v>0</v>
      </c>
      <c r="H125" s="451">
        <f t="shared" si="80"/>
        <v>0</v>
      </c>
      <c r="I125" s="451">
        <f t="shared" si="81"/>
        <v>0</v>
      </c>
      <c r="J125" s="313" t="s">
        <v>251</v>
      </c>
    </row>
    <row r="126" spans="1:10" x14ac:dyDescent="0.25">
      <c r="A126" s="252">
        <f>IF(C126&lt;&gt;"",1+MAX($A$6:A125),"")</f>
        <v>76</v>
      </c>
      <c r="B126" s="448" t="s">
        <v>252</v>
      </c>
      <c r="C126" s="447">
        <v>32</v>
      </c>
      <c r="D126" s="447" t="s">
        <v>13</v>
      </c>
      <c r="E126" s="458">
        <f t="shared" ref="E126:F126" si="83">E$15</f>
        <v>0</v>
      </c>
      <c r="F126" s="459">
        <f t="shared" si="83"/>
        <v>0</v>
      </c>
      <c r="G126" s="451">
        <f t="shared" si="79"/>
        <v>0</v>
      </c>
      <c r="H126" s="451">
        <f t="shared" si="80"/>
        <v>0</v>
      </c>
      <c r="I126" s="451">
        <f t="shared" si="81"/>
        <v>0</v>
      </c>
      <c r="J126" s="313" t="s">
        <v>253</v>
      </c>
    </row>
    <row r="127" spans="1:10" x14ac:dyDescent="0.25">
      <c r="A127" s="252">
        <f>IF(C127&lt;&gt;"",1+MAX($A$6:A126),"")</f>
        <v>77</v>
      </c>
      <c r="B127" s="448" t="s">
        <v>254</v>
      </c>
      <c r="C127" s="447">
        <v>6</v>
      </c>
      <c r="D127" s="447" t="s">
        <v>18</v>
      </c>
      <c r="E127" s="449">
        <v>0</v>
      </c>
      <c r="F127" s="450">
        <v>0</v>
      </c>
      <c r="G127" s="451">
        <f t="shared" si="79"/>
        <v>0</v>
      </c>
      <c r="H127" s="451">
        <f t="shared" si="80"/>
        <v>0</v>
      </c>
      <c r="I127" s="451">
        <f>+G127+H127</f>
        <v>0</v>
      </c>
      <c r="J127" s="313" t="s">
        <v>191</v>
      </c>
    </row>
    <row r="128" spans="1:10" x14ac:dyDescent="0.25">
      <c r="A128" s="252">
        <f>IF(C128&lt;&gt;"",1+MAX($A$6:A127),"")</f>
        <v>78</v>
      </c>
      <c r="B128" s="448" t="s">
        <v>255</v>
      </c>
      <c r="C128" s="447">
        <v>16</v>
      </c>
      <c r="D128" s="447" t="s">
        <v>18</v>
      </c>
      <c r="E128" s="458">
        <f t="shared" ref="E128:F128" si="84">E$47</f>
        <v>0</v>
      </c>
      <c r="F128" s="459">
        <f t="shared" si="84"/>
        <v>0</v>
      </c>
      <c r="G128" s="451">
        <f t="shared" si="79"/>
        <v>0</v>
      </c>
      <c r="H128" s="451">
        <f t="shared" si="80"/>
        <v>0</v>
      </c>
      <c r="I128" s="451">
        <f>+G128+H128</f>
        <v>0</v>
      </c>
      <c r="J128" s="313" t="s">
        <v>191</v>
      </c>
    </row>
    <row r="129" spans="1:10" ht="16.5" thickBot="1" x14ac:dyDescent="0.3">
      <c r="A129" s="252" t="str">
        <f>IF(C129&lt;&gt;"",1+MAX($A$6:A128),"")</f>
        <v/>
      </c>
      <c r="B129" s="448"/>
      <c r="C129" s="447"/>
      <c r="D129" s="447"/>
      <c r="E129" s="448"/>
      <c r="F129" s="448"/>
      <c r="G129" s="448"/>
      <c r="H129" s="448"/>
      <c r="I129" s="448"/>
      <c r="J129" s="313"/>
    </row>
    <row r="130" spans="1:10" ht="16.5" thickBot="1" x14ac:dyDescent="0.3">
      <c r="A130" s="252" t="str">
        <f>IF(C130&lt;&gt;"",1+MAX($A$6:A129),"")</f>
        <v/>
      </c>
      <c r="B130" s="446" t="s">
        <v>256</v>
      </c>
      <c r="C130" s="447"/>
      <c r="D130" s="447"/>
      <c r="E130" s="448"/>
      <c r="F130" s="448"/>
      <c r="G130" s="448"/>
      <c r="H130" s="448"/>
      <c r="I130" s="448"/>
      <c r="J130" s="313"/>
    </row>
    <row r="131" spans="1:10" x14ac:dyDescent="0.25">
      <c r="A131" s="252" t="str">
        <f>IF(C131&lt;&gt;"",1+MAX($A$6:A130),"")</f>
        <v/>
      </c>
      <c r="B131" s="444"/>
      <c r="C131" s="447"/>
      <c r="D131" s="447"/>
      <c r="E131" s="448"/>
      <c r="F131" s="448"/>
      <c r="G131" s="448"/>
      <c r="H131" s="448"/>
      <c r="I131" s="448"/>
      <c r="J131" s="313"/>
    </row>
    <row r="132" spans="1:10" x14ac:dyDescent="0.25">
      <c r="A132" s="252">
        <f>IF(C132&lt;&gt;"",1+MAX($A$6:A131),"")</f>
        <v>79</v>
      </c>
      <c r="B132" s="448" t="s">
        <v>257</v>
      </c>
      <c r="C132" s="447">
        <v>146</v>
      </c>
      <c r="D132" s="447" t="s">
        <v>18</v>
      </c>
      <c r="E132" s="449">
        <v>0</v>
      </c>
      <c r="F132" s="450">
        <v>0</v>
      </c>
      <c r="G132" s="451">
        <f>+C132*E132</f>
        <v>0</v>
      </c>
      <c r="H132" s="451">
        <f>+C132*F132</f>
        <v>0</v>
      </c>
      <c r="I132" s="451">
        <f t="shared" ref="I132:I133" si="85">+G132+H132</f>
        <v>0</v>
      </c>
      <c r="J132" s="313" t="s">
        <v>258</v>
      </c>
    </row>
    <row r="133" spans="1:10" x14ac:dyDescent="0.25">
      <c r="A133" s="252">
        <f>IF(C133&lt;&gt;"",1+MAX($A$6:A132),"")</f>
        <v>80</v>
      </c>
      <c r="B133" s="448" t="s">
        <v>259</v>
      </c>
      <c r="C133" s="447">
        <v>584</v>
      </c>
      <c r="D133" s="447" t="s">
        <v>18</v>
      </c>
      <c r="E133" s="449">
        <v>0</v>
      </c>
      <c r="F133" s="450">
        <v>0</v>
      </c>
      <c r="G133" s="451">
        <f>+C133*E133</f>
        <v>0</v>
      </c>
      <c r="H133" s="451">
        <f>+C133*F133</f>
        <v>0</v>
      </c>
      <c r="I133" s="451">
        <f t="shared" si="85"/>
        <v>0</v>
      </c>
      <c r="J133" s="313" t="s">
        <v>66</v>
      </c>
    </row>
    <row r="134" spans="1:10" ht="16.5" thickBot="1" x14ac:dyDescent="0.3">
      <c r="A134" s="252" t="str">
        <f>IF(C134&lt;&gt;"",1+MAX($A$6:A133),"")</f>
        <v/>
      </c>
      <c r="B134" s="448"/>
      <c r="C134" s="447"/>
      <c r="D134" s="447"/>
      <c r="E134" s="448"/>
      <c r="F134" s="448"/>
      <c r="G134" s="448"/>
      <c r="H134" s="448"/>
      <c r="I134" s="448"/>
      <c r="J134" s="313"/>
    </row>
    <row r="135" spans="1:10" ht="16.5" thickBot="1" x14ac:dyDescent="0.3">
      <c r="A135" s="252" t="str">
        <f>IF(C135&lt;&gt;"",1+MAX($A$6:A134),"")</f>
        <v/>
      </c>
      <c r="B135" s="446" t="s">
        <v>260</v>
      </c>
      <c r="C135" s="447"/>
      <c r="D135" s="447"/>
      <c r="E135" s="448"/>
      <c r="F135" s="448"/>
      <c r="G135" s="448"/>
      <c r="H135" s="448"/>
      <c r="I135" s="448"/>
      <c r="J135" s="313"/>
    </row>
    <row r="136" spans="1:10" x14ac:dyDescent="0.25">
      <c r="A136" s="252" t="str">
        <f>IF(C136&lt;&gt;"",1+MAX($A$6:A135),"")</f>
        <v/>
      </c>
      <c r="B136" s="444"/>
      <c r="C136" s="447"/>
      <c r="D136" s="447"/>
      <c r="E136" s="448"/>
      <c r="F136" s="448"/>
      <c r="G136" s="448"/>
      <c r="H136" s="448"/>
      <c r="I136" s="448"/>
      <c r="J136" s="313"/>
    </row>
    <row r="137" spans="1:10" x14ac:dyDescent="0.25">
      <c r="A137" s="252">
        <f>IF(C137&lt;&gt;"",1+MAX($A$6:A136),"")</f>
        <v>81</v>
      </c>
      <c r="B137" s="448" t="s">
        <v>219</v>
      </c>
      <c r="C137" s="447">
        <v>5</v>
      </c>
      <c r="D137" s="447" t="s">
        <v>18</v>
      </c>
      <c r="E137" s="458">
        <f t="shared" ref="E137:F137" si="86">E$47</f>
        <v>0</v>
      </c>
      <c r="F137" s="459">
        <f t="shared" si="86"/>
        <v>0</v>
      </c>
      <c r="G137" s="451">
        <f t="shared" ref="G137:G144" si="87">+C137*E137</f>
        <v>0</v>
      </c>
      <c r="H137" s="451">
        <f t="shared" ref="H137:H144" si="88">+C137*F137</f>
        <v>0</v>
      </c>
      <c r="I137" s="451">
        <f t="shared" ref="I137:I144" si="89">+G137+H137</f>
        <v>0</v>
      </c>
      <c r="J137" s="313" t="s">
        <v>261</v>
      </c>
    </row>
    <row r="138" spans="1:10" x14ac:dyDescent="0.25">
      <c r="A138" s="252">
        <f>IF(C138&lt;&gt;"",1+MAX($A$6:A137),"")</f>
        <v>82</v>
      </c>
      <c r="B138" s="448" t="s">
        <v>262</v>
      </c>
      <c r="C138" s="447">
        <v>13</v>
      </c>
      <c r="D138" s="447" t="s">
        <v>18</v>
      </c>
      <c r="E138" s="458">
        <f t="shared" ref="E138:F138" si="90">E$99</f>
        <v>0</v>
      </c>
      <c r="F138" s="459">
        <f t="shared" si="90"/>
        <v>0</v>
      </c>
      <c r="G138" s="451">
        <f t="shared" si="87"/>
        <v>0</v>
      </c>
      <c r="H138" s="451">
        <f t="shared" si="88"/>
        <v>0</v>
      </c>
      <c r="I138" s="451">
        <f t="shared" si="89"/>
        <v>0</v>
      </c>
      <c r="J138" s="313" t="s">
        <v>263</v>
      </c>
    </row>
    <row r="139" spans="1:10" x14ac:dyDescent="0.25">
      <c r="A139" s="252">
        <f>IF(C139&lt;&gt;"",1+MAX($A$6:A138),"")</f>
        <v>83</v>
      </c>
      <c r="B139" s="448" t="s">
        <v>254</v>
      </c>
      <c r="C139" s="447">
        <v>18</v>
      </c>
      <c r="D139" s="447" t="s">
        <v>18</v>
      </c>
      <c r="E139" s="458">
        <f t="shared" ref="E139:F139" si="91">E$127</f>
        <v>0</v>
      </c>
      <c r="F139" s="459">
        <f t="shared" si="91"/>
        <v>0</v>
      </c>
      <c r="G139" s="451">
        <f t="shared" si="87"/>
        <v>0</v>
      </c>
      <c r="H139" s="451">
        <f t="shared" si="88"/>
        <v>0</v>
      </c>
      <c r="I139" s="451">
        <f t="shared" si="89"/>
        <v>0</v>
      </c>
      <c r="J139" s="313" t="s">
        <v>264</v>
      </c>
    </row>
    <row r="140" spans="1:10" x14ac:dyDescent="0.25">
      <c r="A140" s="252">
        <f>IF(C140&lt;&gt;"",1+MAX($A$6:A139),"")</f>
        <v>84</v>
      </c>
      <c r="B140" s="448" t="s">
        <v>265</v>
      </c>
      <c r="C140" s="447">
        <v>42</v>
      </c>
      <c r="D140" s="447" t="s">
        <v>18</v>
      </c>
      <c r="E140" s="449">
        <v>0</v>
      </c>
      <c r="F140" s="450">
        <v>0</v>
      </c>
      <c r="G140" s="451">
        <f t="shared" si="87"/>
        <v>0</v>
      </c>
      <c r="H140" s="451">
        <f t="shared" si="88"/>
        <v>0</v>
      </c>
      <c r="I140" s="451">
        <f t="shared" si="89"/>
        <v>0</v>
      </c>
      <c r="J140" s="313" t="s">
        <v>266</v>
      </c>
    </row>
    <row r="141" spans="1:10" x14ac:dyDescent="0.25">
      <c r="A141" s="252">
        <f>IF(C141&lt;&gt;"",1+MAX($A$6:A140),"")</f>
        <v>85</v>
      </c>
      <c r="B141" s="448" t="s">
        <v>267</v>
      </c>
      <c r="C141" s="447">
        <v>22</v>
      </c>
      <c r="D141" s="447" t="s">
        <v>18</v>
      </c>
      <c r="E141" s="449">
        <v>0</v>
      </c>
      <c r="F141" s="450">
        <v>0</v>
      </c>
      <c r="G141" s="451">
        <f t="shared" si="87"/>
        <v>0</v>
      </c>
      <c r="H141" s="451">
        <f t="shared" si="88"/>
        <v>0</v>
      </c>
      <c r="I141" s="451">
        <f t="shared" si="89"/>
        <v>0</v>
      </c>
      <c r="J141" s="313" t="s">
        <v>266</v>
      </c>
    </row>
    <row r="142" spans="1:10" x14ac:dyDescent="0.25">
      <c r="A142" s="252">
        <f>IF(C142&lt;&gt;"",1+MAX($A$6:A141),"")</f>
        <v>86</v>
      </c>
      <c r="B142" s="448" t="s">
        <v>268</v>
      </c>
      <c r="C142" s="447">
        <v>63</v>
      </c>
      <c r="D142" s="447" t="s">
        <v>18</v>
      </c>
      <c r="E142" s="449">
        <v>0</v>
      </c>
      <c r="F142" s="450">
        <v>0</v>
      </c>
      <c r="G142" s="451">
        <f t="shared" si="87"/>
        <v>0</v>
      </c>
      <c r="H142" s="451">
        <f t="shared" si="88"/>
        <v>0</v>
      </c>
      <c r="I142" s="451">
        <f t="shared" si="89"/>
        <v>0</v>
      </c>
      <c r="J142" s="313" t="s">
        <v>269</v>
      </c>
    </row>
    <row r="143" spans="1:10" x14ac:dyDescent="0.25">
      <c r="A143" s="252">
        <f>IF(C143&lt;&gt;"",1+MAX($A$6:A142),"")</f>
        <v>87</v>
      </c>
      <c r="B143" s="448" t="s">
        <v>197</v>
      </c>
      <c r="C143" s="447">
        <v>5</v>
      </c>
      <c r="D143" s="447" t="s">
        <v>18</v>
      </c>
      <c r="E143" s="458">
        <f t="shared" ref="E143:F143" si="92">E$17</f>
        <v>0</v>
      </c>
      <c r="F143" s="459">
        <f t="shared" si="92"/>
        <v>0</v>
      </c>
      <c r="G143" s="451">
        <f t="shared" si="87"/>
        <v>0</v>
      </c>
      <c r="H143" s="451">
        <f t="shared" si="88"/>
        <v>0</v>
      </c>
      <c r="I143" s="451">
        <f t="shared" si="89"/>
        <v>0</v>
      </c>
      <c r="J143" s="313" t="s">
        <v>198</v>
      </c>
    </row>
    <row r="144" spans="1:10" x14ac:dyDescent="0.25">
      <c r="A144" s="252">
        <f>IF(C144&lt;&gt;"",1+MAX($A$6:A143),"")</f>
        <v>88</v>
      </c>
      <c r="B144" s="448" t="s">
        <v>199</v>
      </c>
      <c r="C144" s="447">
        <v>2</v>
      </c>
      <c r="D144" s="447" t="s">
        <v>18</v>
      </c>
      <c r="E144" s="458">
        <f t="shared" ref="E144:F144" si="93">E$18</f>
        <v>0</v>
      </c>
      <c r="F144" s="459">
        <f t="shared" si="93"/>
        <v>0</v>
      </c>
      <c r="G144" s="451">
        <f t="shared" si="87"/>
        <v>0</v>
      </c>
      <c r="H144" s="451">
        <f t="shared" si="88"/>
        <v>0</v>
      </c>
      <c r="I144" s="451">
        <f t="shared" si="89"/>
        <v>0</v>
      </c>
      <c r="J144" s="313" t="s">
        <v>200</v>
      </c>
    </row>
    <row r="145" spans="1:10" ht="16.5" thickBot="1" x14ac:dyDescent="0.3">
      <c r="A145" s="252" t="str">
        <f>IF(C145&lt;&gt;"",1+MAX($A$6:A144),"")</f>
        <v/>
      </c>
      <c r="B145" s="448"/>
      <c r="C145" s="447"/>
      <c r="D145" s="447"/>
      <c r="E145" s="448"/>
      <c r="F145" s="448"/>
      <c r="G145" s="448"/>
      <c r="H145" s="448"/>
      <c r="I145" s="448"/>
      <c r="J145" s="313"/>
    </row>
    <row r="146" spans="1:10" ht="16.5" thickBot="1" x14ac:dyDescent="0.3">
      <c r="A146" s="252" t="str">
        <f>IF(C146&lt;&gt;"",1+MAX($A$6:A145),"")</f>
        <v/>
      </c>
      <c r="B146" s="446" t="s">
        <v>270</v>
      </c>
      <c r="C146" s="447"/>
      <c r="D146" s="447"/>
      <c r="E146" s="448"/>
      <c r="F146" s="448"/>
      <c r="G146" s="448"/>
      <c r="H146" s="448"/>
      <c r="I146" s="448"/>
      <c r="J146" s="313"/>
    </row>
    <row r="147" spans="1:10" x14ac:dyDescent="0.25">
      <c r="A147" s="252" t="str">
        <f>IF(C147&lt;&gt;"",1+MAX($A$6:A146),"")</f>
        <v/>
      </c>
      <c r="B147" s="444"/>
      <c r="C147" s="447"/>
      <c r="D147" s="447"/>
      <c r="E147" s="448"/>
      <c r="F147" s="448"/>
      <c r="G147" s="448"/>
      <c r="H147" s="448"/>
      <c r="I147" s="448"/>
      <c r="J147" s="313"/>
    </row>
    <row r="148" spans="1:10" x14ac:dyDescent="0.25">
      <c r="A148" s="252">
        <f>IF(C148&lt;&gt;"",1+MAX($A$6:A147),"")</f>
        <v>89</v>
      </c>
      <c r="B148" s="448" t="s">
        <v>271</v>
      </c>
      <c r="C148" s="447">
        <v>44</v>
      </c>
      <c r="D148" s="447" t="s">
        <v>18</v>
      </c>
      <c r="E148" s="448"/>
      <c r="F148" s="448"/>
      <c r="G148" s="448"/>
      <c r="H148" s="448"/>
      <c r="I148" s="448"/>
      <c r="J148" s="313" t="s">
        <v>272</v>
      </c>
    </row>
    <row r="149" spans="1:10" x14ac:dyDescent="0.25">
      <c r="A149" s="252">
        <f>IF(C149&lt;&gt;"",1+MAX($A$6:A148),"")</f>
        <v>90</v>
      </c>
      <c r="B149" s="448" t="s">
        <v>273</v>
      </c>
      <c r="C149" s="447">
        <v>16</v>
      </c>
      <c r="D149" s="447" t="s">
        <v>18</v>
      </c>
      <c r="E149" s="448"/>
      <c r="F149" s="448"/>
      <c r="G149" s="448"/>
      <c r="H149" s="448"/>
      <c r="I149" s="448"/>
      <c r="J149" s="313" t="s">
        <v>274</v>
      </c>
    </row>
    <row r="150" spans="1:10" x14ac:dyDescent="0.25">
      <c r="A150" s="252">
        <f>IF(C150&lt;&gt;"",1+MAX($A$6:A149),"")</f>
        <v>91</v>
      </c>
      <c r="B150" s="448" t="s">
        <v>275</v>
      </c>
      <c r="C150" s="447">
        <v>16</v>
      </c>
      <c r="D150" s="447" t="s">
        <v>18</v>
      </c>
      <c r="E150" s="448"/>
      <c r="F150" s="448"/>
      <c r="G150" s="448"/>
      <c r="H150" s="448"/>
      <c r="I150" s="448"/>
      <c r="J150" s="313" t="s">
        <v>274</v>
      </c>
    </row>
    <row r="151" spans="1:10" x14ac:dyDescent="0.25">
      <c r="A151" s="252">
        <f>IF(C151&lt;&gt;"",1+MAX($A$6:A150),"")</f>
        <v>92</v>
      </c>
      <c r="B151" s="448" t="s">
        <v>276</v>
      </c>
      <c r="C151" s="447">
        <v>24</v>
      </c>
      <c r="D151" s="447" t="s">
        <v>18</v>
      </c>
      <c r="E151" s="448"/>
      <c r="F151" s="448"/>
      <c r="G151" s="448"/>
      <c r="H151" s="448"/>
      <c r="I151" s="448"/>
      <c r="J151" s="313" t="s">
        <v>277</v>
      </c>
    </row>
    <row r="152" spans="1:10" x14ac:dyDescent="0.25">
      <c r="A152" s="252">
        <f>IF(C152&lt;&gt;"",1+MAX($A$6:A151),"")</f>
        <v>93</v>
      </c>
      <c r="B152" s="448" t="s">
        <v>278</v>
      </c>
      <c r="C152" s="447">
        <v>12</v>
      </c>
      <c r="D152" s="447" t="s">
        <v>18</v>
      </c>
      <c r="E152" s="448"/>
      <c r="F152" s="448"/>
      <c r="G152" s="448"/>
      <c r="H152" s="448"/>
      <c r="I152" s="448"/>
      <c r="J152" s="313" t="s">
        <v>279</v>
      </c>
    </row>
    <row r="153" spans="1:10" x14ac:dyDescent="0.25">
      <c r="A153" s="252">
        <f>IF(C153&lt;&gt;"",1+MAX($A$6:A152),"")</f>
        <v>94</v>
      </c>
      <c r="B153" s="448" t="s">
        <v>280</v>
      </c>
      <c r="C153" s="447">
        <v>26</v>
      </c>
      <c r="D153" s="447" t="s">
        <v>18</v>
      </c>
      <c r="E153" s="448"/>
      <c r="F153" s="448"/>
      <c r="G153" s="448"/>
      <c r="H153" s="448"/>
      <c r="I153" s="448"/>
      <c r="J153" s="313" t="s">
        <v>279</v>
      </c>
    </row>
    <row r="154" spans="1:10" x14ac:dyDescent="0.25">
      <c r="A154" s="252">
        <f>IF(C154&lt;&gt;"",1+MAX($A$6:A153),"")</f>
        <v>95</v>
      </c>
      <c r="B154" s="448" t="s">
        <v>281</v>
      </c>
      <c r="C154" s="447">
        <v>6</v>
      </c>
      <c r="D154" s="447" t="s">
        <v>18</v>
      </c>
      <c r="E154" s="448"/>
      <c r="F154" s="448"/>
      <c r="G154" s="448"/>
      <c r="H154" s="448"/>
      <c r="I154" s="448"/>
      <c r="J154" s="313" t="s">
        <v>282</v>
      </c>
    </row>
    <row r="155" spans="1:10" ht="31.5" x14ac:dyDescent="0.25">
      <c r="A155" s="252">
        <f>IF(C155&lt;&gt;"",1+MAX($A$6:A154),"")</f>
        <v>96</v>
      </c>
      <c r="B155" s="452" t="s">
        <v>283</v>
      </c>
      <c r="C155" s="447">
        <v>125</v>
      </c>
      <c r="D155" s="447" t="s">
        <v>18</v>
      </c>
      <c r="E155" s="448"/>
      <c r="F155" s="448"/>
      <c r="G155" s="448"/>
      <c r="H155" s="448"/>
      <c r="I155" s="448"/>
      <c r="J155" s="313" t="s">
        <v>284</v>
      </c>
    </row>
    <row r="156" spans="1:10" ht="31.5" x14ac:dyDescent="0.25">
      <c r="A156" s="252">
        <f>IF(C156&lt;&gt;"",1+MAX($A$6:A155),"")</f>
        <v>97</v>
      </c>
      <c r="B156" s="452" t="s">
        <v>285</v>
      </c>
      <c r="C156" s="447">
        <v>102</v>
      </c>
      <c r="D156" s="447" t="s">
        <v>18</v>
      </c>
      <c r="E156" s="448"/>
      <c r="F156" s="448"/>
      <c r="G156" s="448"/>
      <c r="H156" s="448"/>
      <c r="I156" s="448"/>
      <c r="J156" s="313" t="s">
        <v>286</v>
      </c>
    </row>
    <row r="157" spans="1:10" x14ac:dyDescent="0.25">
      <c r="A157" s="252">
        <f>IF(C157&lt;&gt;"",1+MAX($A$6:A156),"")</f>
        <v>98</v>
      </c>
      <c r="B157" s="452" t="s">
        <v>287</v>
      </c>
      <c r="C157" s="447">
        <v>2</v>
      </c>
      <c r="D157" s="447" t="s">
        <v>18</v>
      </c>
      <c r="E157" s="448"/>
      <c r="F157" s="448"/>
      <c r="G157" s="448"/>
      <c r="H157" s="448"/>
      <c r="I157" s="448"/>
      <c r="J157" s="313" t="s">
        <v>288</v>
      </c>
    </row>
    <row r="158" spans="1:10" x14ac:dyDescent="0.25">
      <c r="A158" s="252">
        <f>IF(C158&lt;&gt;"",1+MAX($A$6:A157),"")</f>
        <v>99</v>
      </c>
      <c r="B158" s="452" t="s">
        <v>289</v>
      </c>
      <c r="C158" s="447">
        <v>79</v>
      </c>
      <c r="D158" s="447" t="s">
        <v>18</v>
      </c>
      <c r="E158" s="448"/>
      <c r="F158" s="448"/>
      <c r="G158" s="448"/>
      <c r="H158" s="448"/>
      <c r="I158" s="448"/>
      <c r="J158" s="313" t="s">
        <v>290</v>
      </c>
    </row>
    <row r="159" spans="1:10" x14ac:dyDescent="0.25">
      <c r="A159" s="252">
        <f>IF(C159&lt;&gt;"",1+MAX($A$6:A158),"")</f>
        <v>100</v>
      </c>
      <c r="B159" s="452" t="s">
        <v>291</v>
      </c>
      <c r="C159" s="447">
        <v>119</v>
      </c>
      <c r="D159" s="447" t="s">
        <v>18</v>
      </c>
      <c r="E159" s="448"/>
      <c r="F159" s="448"/>
      <c r="G159" s="448"/>
      <c r="H159" s="448"/>
      <c r="I159" s="448"/>
      <c r="J159" s="313" t="s">
        <v>292</v>
      </c>
    </row>
    <row r="160" spans="1:10" x14ac:dyDescent="0.25">
      <c r="A160" s="252">
        <f>IF(C160&lt;&gt;"",1+MAX($A$6:A159),"")</f>
        <v>101</v>
      </c>
      <c r="B160" s="448" t="s">
        <v>293</v>
      </c>
      <c r="C160" s="447">
        <v>119</v>
      </c>
      <c r="D160" s="447" t="s">
        <v>18</v>
      </c>
      <c r="E160" s="448"/>
      <c r="F160" s="448"/>
      <c r="G160" s="448"/>
      <c r="H160" s="448"/>
      <c r="I160" s="448"/>
      <c r="J160" s="313" t="s">
        <v>294</v>
      </c>
    </row>
    <row r="161" spans="1:10" x14ac:dyDescent="0.25">
      <c r="A161" s="252" t="str">
        <f>IF(C161&lt;&gt;"",1+MAX($A$6:A160),"")</f>
        <v/>
      </c>
      <c r="B161" s="448"/>
      <c r="C161" s="447"/>
      <c r="D161" s="447"/>
      <c r="E161" s="448"/>
      <c r="F161" s="448"/>
      <c r="G161" s="448"/>
      <c r="H161" s="448"/>
      <c r="I161" s="448"/>
      <c r="J161" s="313"/>
    </row>
    <row r="162" spans="1:10" ht="31.5" x14ac:dyDescent="0.25">
      <c r="A162" s="252">
        <f>IF(C162&lt;&gt;"",1+MAX($A$6:A161),"")</f>
        <v>102</v>
      </c>
      <c r="B162" s="460" t="s">
        <v>644</v>
      </c>
      <c r="C162" s="447">
        <v>1</v>
      </c>
      <c r="D162" s="447" t="s">
        <v>48</v>
      </c>
      <c r="E162" s="449">
        <v>0</v>
      </c>
      <c r="F162" s="450">
        <v>0</v>
      </c>
      <c r="G162" s="453">
        <f>+C162*E162</f>
        <v>0</v>
      </c>
      <c r="H162" s="453">
        <f>+C162*F162</f>
        <v>0</v>
      </c>
      <c r="I162" s="453">
        <f t="shared" ref="I162" si="94">+G162+H162</f>
        <v>0</v>
      </c>
      <c r="J162" s="313"/>
    </row>
    <row r="163" spans="1:10" x14ac:dyDescent="0.25">
      <c r="A163" s="252" t="str">
        <f>IF(C163&lt;&gt;"",1+MAX($A$6:A162),"")</f>
        <v/>
      </c>
      <c r="B163" s="444"/>
      <c r="C163" s="447"/>
      <c r="D163" s="447"/>
      <c r="E163" s="448"/>
      <c r="F163" s="448"/>
      <c r="G163" s="448"/>
      <c r="H163" s="448"/>
      <c r="I163" s="448"/>
      <c r="J163" s="315"/>
    </row>
    <row r="164" spans="1:10" x14ac:dyDescent="0.25">
      <c r="A164" s="252" t="str">
        <f>IF(C164&lt;&gt;"",1+MAX($A$6:A163),"")</f>
        <v/>
      </c>
      <c r="B164" s="444"/>
      <c r="C164" s="447"/>
      <c r="D164" s="447"/>
      <c r="E164" s="448"/>
      <c r="F164" s="448"/>
      <c r="G164" s="454" t="s">
        <v>296</v>
      </c>
      <c r="H164" s="454" t="s">
        <v>295</v>
      </c>
      <c r="I164" s="448"/>
      <c r="J164" s="315"/>
    </row>
    <row r="165" spans="1:10" x14ac:dyDescent="0.25">
      <c r="A165" s="252" t="str">
        <f>IF(C165&lt;&gt;"",1+MAX($A$6:A164),"")</f>
        <v/>
      </c>
      <c r="B165" s="444"/>
      <c r="C165" s="447"/>
      <c r="D165" s="447"/>
      <c r="E165" s="448"/>
      <c r="F165" s="448"/>
      <c r="G165" s="455">
        <f>+SUM(G5:G164)</f>
        <v>0</v>
      </c>
      <c r="H165" s="455">
        <f>+SUM(H5:H164)</f>
        <v>0</v>
      </c>
      <c r="I165" s="448"/>
      <c r="J165" s="315"/>
    </row>
    <row r="166" spans="1:10" ht="16.5" thickBot="1" x14ac:dyDescent="0.3">
      <c r="A166" s="252" t="str">
        <f>IF(C166&lt;&gt;"",1+MAX($A$6:A165),"")</f>
        <v/>
      </c>
      <c r="B166" s="444"/>
      <c r="C166" s="447"/>
      <c r="D166" s="447"/>
      <c r="E166" s="448"/>
      <c r="F166" s="448"/>
      <c r="G166" s="448"/>
      <c r="H166" s="448"/>
      <c r="I166" s="448"/>
      <c r="J166" s="315"/>
    </row>
    <row r="167" spans="1:10" s="258" customFormat="1" ht="16.5" thickBot="1" x14ac:dyDescent="0.3">
      <c r="A167" s="326" t="s">
        <v>448</v>
      </c>
      <c r="B167" s="327"/>
      <c r="C167" s="328"/>
      <c r="D167" s="329"/>
      <c r="E167" s="330"/>
      <c r="F167" s="330"/>
      <c r="G167" s="322"/>
      <c r="H167" s="322"/>
      <c r="I167" s="323">
        <f>SUM(I6:I166)</f>
        <v>0</v>
      </c>
      <c r="J167" s="315"/>
    </row>
    <row r="168" spans="1:10" s="258" customFormat="1" ht="16.5" thickBot="1" x14ac:dyDescent="0.3">
      <c r="A168" s="336" t="s">
        <v>987</v>
      </c>
      <c r="B168" s="331"/>
      <c r="C168" s="332"/>
      <c r="D168" s="333"/>
      <c r="E168" s="334"/>
      <c r="F168" s="334"/>
      <c r="G168" s="335"/>
      <c r="H168" s="324">
        <v>6.25E-2</v>
      </c>
      <c r="I168" s="325">
        <f>H165*H168</f>
        <v>0</v>
      </c>
      <c r="J168" s="315"/>
    </row>
    <row r="169" spans="1:10" s="258" customFormat="1" ht="16.5" thickBot="1" x14ac:dyDescent="0.3">
      <c r="A169" s="326" t="s">
        <v>450</v>
      </c>
      <c r="B169" s="327"/>
      <c r="C169" s="328"/>
      <c r="D169" s="329"/>
      <c r="E169" s="330"/>
      <c r="F169" s="330"/>
      <c r="G169" s="322"/>
      <c r="H169" s="322"/>
      <c r="I169" s="323">
        <f>SUM(I167:I168)</f>
        <v>0</v>
      </c>
      <c r="J169" s="315"/>
    </row>
  </sheetData>
  <pageMargins left="0.7" right="0.7" top="0.75" bottom="0.75" header="0.3" footer="0.3"/>
  <pageSetup scale="44" orientation="portrait" r:id="rId1"/>
  <ignoredErrors>
    <ignoredError sqref="E42:F42 E70:F70 E89:F8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71"/>
  <sheetViews>
    <sheetView view="pageBreakPreview" zoomScale="90" zoomScaleNormal="90" zoomScaleSheetLayoutView="90" workbookViewId="0">
      <pane ySplit="5" topLeftCell="A6" activePane="bottomLeft" state="frozen"/>
      <selection pane="bottomLeft" activeCell="A6" sqref="A6"/>
    </sheetView>
  </sheetViews>
  <sheetFormatPr defaultRowHeight="15.75" x14ac:dyDescent="0.25"/>
  <cols>
    <col min="1" max="1" width="13.6640625" style="317" customWidth="1"/>
    <col min="2" max="2" width="34.44140625" style="317" customWidth="1"/>
    <col min="3" max="3" width="8.88671875" style="317"/>
    <col min="4" max="4" width="6.6640625" style="318" customWidth="1"/>
    <col min="5" max="5" width="9.6640625" style="317" customWidth="1"/>
    <col min="6" max="6" width="9.109375" style="317" customWidth="1"/>
    <col min="7" max="7" width="10.5546875" style="317" customWidth="1"/>
    <col min="8" max="8" width="13.109375" style="317" customWidth="1"/>
    <col min="9" max="9" width="11.21875" style="317" customWidth="1"/>
    <col min="10" max="10" width="31.21875" style="317" customWidth="1"/>
    <col min="11" max="16384" width="8.88671875" style="251"/>
  </cols>
  <sheetData>
    <row r="1" spans="1:10" ht="16.5" thickBot="1" x14ac:dyDescent="0.3">
      <c r="A1" s="298" t="s">
        <v>6</v>
      </c>
      <c r="B1" s="471"/>
      <c r="C1" s="299"/>
      <c r="D1" s="299"/>
      <c r="E1" s="300"/>
      <c r="F1" s="294"/>
      <c r="G1" s="294"/>
      <c r="H1" s="294"/>
      <c r="I1" s="294"/>
      <c r="J1" s="618"/>
    </row>
    <row r="2" spans="1:10" x14ac:dyDescent="0.25">
      <c r="A2" s="301" t="s">
        <v>7</v>
      </c>
      <c r="B2" s="473"/>
      <c r="C2" s="160"/>
      <c r="D2" s="160"/>
      <c r="E2" s="161"/>
      <c r="F2" s="302"/>
      <c r="G2" s="161"/>
      <c r="H2" s="302"/>
      <c r="I2" s="302"/>
      <c r="J2" s="303"/>
    </row>
    <row r="3" spans="1:10" x14ac:dyDescent="0.25">
      <c r="A3" s="304" t="s">
        <v>8</v>
      </c>
      <c r="B3" s="472">
        <v>45042</v>
      </c>
      <c r="C3" s="23"/>
      <c r="D3" s="23"/>
      <c r="E3" s="297"/>
      <c r="F3" s="305"/>
      <c r="G3" s="43"/>
      <c r="H3" s="71"/>
      <c r="I3" s="16"/>
      <c r="J3" s="295"/>
    </row>
    <row r="4" spans="1:10" ht="16.5" thickBot="1" x14ac:dyDescent="0.3">
      <c r="A4" s="304" t="s">
        <v>9</v>
      </c>
      <c r="B4" s="472">
        <v>44790</v>
      </c>
      <c r="C4" s="23"/>
      <c r="D4" s="23"/>
      <c r="E4" s="43"/>
      <c r="F4" s="305"/>
      <c r="G4" s="43"/>
      <c r="H4" s="71"/>
      <c r="I4" s="43"/>
      <c r="J4" s="295"/>
    </row>
    <row r="5" spans="1:10" ht="32.25" thickBot="1" x14ac:dyDescent="0.3">
      <c r="A5" s="291" t="s">
        <v>172</v>
      </c>
      <c r="B5" s="292" t="s">
        <v>173</v>
      </c>
      <c r="C5" s="292" t="s">
        <v>38</v>
      </c>
      <c r="D5" s="292" t="s">
        <v>174</v>
      </c>
      <c r="E5" s="292" t="s">
        <v>175</v>
      </c>
      <c r="F5" s="292" t="s">
        <v>176</v>
      </c>
      <c r="G5" s="292" t="s">
        <v>177</v>
      </c>
      <c r="H5" s="292" t="s">
        <v>178</v>
      </c>
      <c r="I5" s="292" t="s">
        <v>179</v>
      </c>
      <c r="J5" s="293" t="s">
        <v>180</v>
      </c>
    </row>
    <row r="6" spans="1:10" ht="16.5" thickBot="1" x14ac:dyDescent="0.3">
      <c r="A6" s="260" t="str">
        <f>IF(C6&lt;&gt;"",1+MAX($A1:A$7),"")</f>
        <v/>
      </c>
      <c r="B6" s="306"/>
      <c r="C6" s="306"/>
      <c r="D6" s="307"/>
      <c r="E6" s="306"/>
      <c r="F6" s="306"/>
      <c r="G6" s="337"/>
      <c r="H6" s="306"/>
      <c r="I6" s="306"/>
      <c r="J6" s="308"/>
    </row>
    <row r="7" spans="1:10" ht="16.5" thickBot="1" x14ac:dyDescent="0.3">
      <c r="A7" s="252" t="str">
        <f>IF(C7&lt;&gt;"",1+MAX($A6:A$7),"")</f>
        <v/>
      </c>
      <c r="B7" s="340" t="s">
        <v>297</v>
      </c>
      <c r="C7" s="338"/>
      <c r="D7" s="311"/>
      <c r="E7" s="312"/>
      <c r="F7" s="312"/>
      <c r="G7" s="339"/>
      <c r="H7" s="312"/>
      <c r="I7" s="312"/>
      <c r="J7" s="315"/>
    </row>
    <row r="8" spans="1:10" ht="16.5" thickBot="1" x14ac:dyDescent="0.3">
      <c r="A8" s="252" t="str">
        <f>IF(C8&lt;&gt;"",1+MAX($A7:A$7),"")</f>
        <v/>
      </c>
      <c r="B8" s="306"/>
      <c r="C8" s="312"/>
      <c r="D8" s="311"/>
      <c r="E8" s="312"/>
      <c r="F8" s="312"/>
      <c r="G8" s="312"/>
      <c r="H8" s="312"/>
      <c r="I8" s="312"/>
      <c r="J8" s="315"/>
    </row>
    <row r="9" spans="1:10" ht="16.5" thickBot="1" x14ac:dyDescent="0.3">
      <c r="A9" s="252" t="str">
        <f>IF(C9&lt;&gt;"",1+MAX($A$7:A8),"")</f>
        <v/>
      </c>
      <c r="B9" s="309" t="s">
        <v>298</v>
      </c>
      <c r="C9" s="310"/>
      <c r="D9" s="311"/>
      <c r="E9" s="312"/>
      <c r="F9" s="312"/>
      <c r="G9" s="312"/>
      <c r="H9" s="312"/>
      <c r="I9" s="312"/>
      <c r="J9" s="313"/>
    </row>
    <row r="10" spans="1:10" x14ac:dyDescent="0.25">
      <c r="A10" s="252" t="str">
        <f>IF(C10&lt;&gt;"",1+MAX($A$7:A9),"")</f>
        <v/>
      </c>
      <c r="B10" s="306"/>
      <c r="C10" s="310"/>
      <c r="D10" s="311"/>
      <c r="E10" s="312"/>
      <c r="F10" s="312"/>
      <c r="G10" s="312"/>
      <c r="H10" s="312"/>
      <c r="I10" s="312"/>
      <c r="J10" s="313"/>
    </row>
    <row r="11" spans="1:10" x14ac:dyDescent="0.25">
      <c r="A11" s="252">
        <f>IF(C11&lt;&gt;"",1+MAX($A$7:A10),"")</f>
        <v>1</v>
      </c>
      <c r="B11" s="312" t="s">
        <v>299</v>
      </c>
      <c r="C11" s="310">
        <v>5</v>
      </c>
      <c r="D11" s="311" t="s">
        <v>18</v>
      </c>
      <c r="E11" s="319">
        <v>0</v>
      </c>
      <c r="F11" s="320">
        <v>0</v>
      </c>
      <c r="G11" s="314">
        <f t="shared" ref="G11:G34" si="0">+C11*E11</f>
        <v>0</v>
      </c>
      <c r="H11" s="314">
        <f t="shared" ref="H11:H34" si="1">+C11*F11</f>
        <v>0</v>
      </c>
      <c r="I11" s="314">
        <f t="shared" ref="I11:I34" si="2">+G11+H11</f>
        <v>0</v>
      </c>
      <c r="J11" s="313" t="s">
        <v>300</v>
      </c>
    </row>
    <row r="12" spans="1:10" x14ac:dyDescent="0.25">
      <c r="A12" s="252">
        <f>IF(C12&lt;&gt;"",1+MAX($A$7:A11),"")</f>
        <v>2</v>
      </c>
      <c r="B12" s="312" t="s">
        <v>301</v>
      </c>
      <c r="C12" s="310">
        <f>35+41</f>
        <v>76</v>
      </c>
      <c r="D12" s="311" t="s">
        <v>18</v>
      </c>
      <c r="E12" s="319">
        <v>0</v>
      </c>
      <c r="F12" s="320">
        <v>0</v>
      </c>
      <c r="G12" s="314">
        <f t="shared" si="0"/>
        <v>0</v>
      </c>
      <c r="H12" s="314">
        <f t="shared" si="1"/>
        <v>0</v>
      </c>
      <c r="I12" s="314">
        <f t="shared" si="2"/>
        <v>0</v>
      </c>
      <c r="J12" s="313" t="s">
        <v>300</v>
      </c>
    </row>
    <row r="13" spans="1:10" x14ac:dyDescent="0.25">
      <c r="A13" s="252">
        <f>IF(C13&lt;&gt;"",1+MAX($A$7:A12),"")</f>
        <v>3</v>
      </c>
      <c r="B13" s="312" t="s">
        <v>302</v>
      </c>
      <c r="C13" s="310">
        <f>21+26</f>
        <v>47</v>
      </c>
      <c r="D13" s="311" t="s">
        <v>18</v>
      </c>
      <c r="E13" s="319">
        <v>0</v>
      </c>
      <c r="F13" s="320">
        <v>0</v>
      </c>
      <c r="G13" s="314">
        <f t="shared" si="0"/>
        <v>0</v>
      </c>
      <c r="H13" s="314">
        <f t="shared" si="1"/>
        <v>0</v>
      </c>
      <c r="I13" s="314">
        <f t="shared" si="2"/>
        <v>0</v>
      </c>
      <c r="J13" s="313" t="s">
        <v>300</v>
      </c>
    </row>
    <row r="14" spans="1:10" x14ac:dyDescent="0.25">
      <c r="A14" s="252">
        <f>IF(C14&lt;&gt;"",1+MAX($A$7:A13),"")</f>
        <v>4</v>
      </c>
      <c r="B14" s="312" t="s">
        <v>303</v>
      </c>
      <c r="C14" s="310">
        <v>7</v>
      </c>
      <c r="D14" s="311" t="s">
        <v>18</v>
      </c>
      <c r="E14" s="319">
        <v>0</v>
      </c>
      <c r="F14" s="320">
        <v>0</v>
      </c>
      <c r="G14" s="314">
        <f t="shared" si="0"/>
        <v>0</v>
      </c>
      <c r="H14" s="314">
        <f t="shared" si="1"/>
        <v>0</v>
      </c>
      <c r="I14" s="314">
        <f t="shared" si="2"/>
        <v>0</v>
      </c>
      <c r="J14" s="313" t="s">
        <v>300</v>
      </c>
    </row>
    <row r="15" spans="1:10" x14ac:dyDescent="0.25">
      <c r="A15" s="252">
        <f>IF(C15&lt;&gt;"",1+MAX($A$7:A14),"")</f>
        <v>5</v>
      </c>
      <c r="B15" s="312" t="s">
        <v>304</v>
      </c>
      <c r="C15" s="310">
        <f>12+1</f>
        <v>13</v>
      </c>
      <c r="D15" s="311" t="s">
        <v>18</v>
      </c>
      <c r="E15" s="319">
        <v>0</v>
      </c>
      <c r="F15" s="320">
        <v>0</v>
      </c>
      <c r="G15" s="314">
        <f t="shared" si="0"/>
        <v>0</v>
      </c>
      <c r="H15" s="314">
        <f t="shared" si="1"/>
        <v>0</v>
      </c>
      <c r="I15" s="314">
        <f t="shared" si="2"/>
        <v>0</v>
      </c>
      <c r="J15" s="313" t="s">
        <v>300</v>
      </c>
    </row>
    <row r="16" spans="1:10" x14ac:dyDescent="0.25">
      <c r="A16" s="252">
        <f>IF(C16&lt;&gt;"",1+MAX($A$7:A15),"")</f>
        <v>6</v>
      </c>
      <c r="B16" s="312" t="s">
        <v>305</v>
      </c>
      <c r="C16" s="310">
        <f>6+12</f>
        <v>18</v>
      </c>
      <c r="D16" s="311" t="s">
        <v>18</v>
      </c>
      <c r="E16" s="319">
        <v>0</v>
      </c>
      <c r="F16" s="320">
        <v>0</v>
      </c>
      <c r="G16" s="314">
        <f t="shared" si="0"/>
        <v>0</v>
      </c>
      <c r="H16" s="314">
        <f t="shared" si="1"/>
        <v>0</v>
      </c>
      <c r="I16" s="314">
        <f t="shared" si="2"/>
        <v>0</v>
      </c>
      <c r="J16" s="313" t="s">
        <v>300</v>
      </c>
    </row>
    <row r="17" spans="1:10" x14ac:dyDescent="0.25">
      <c r="A17" s="252">
        <f>IF(C17&lt;&gt;"",1+MAX($A$7:A16),"")</f>
        <v>7</v>
      </c>
      <c r="B17" s="312" t="s">
        <v>306</v>
      </c>
      <c r="C17" s="310">
        <v>6</v>
      </c>
      <c r="D17" s="311" t="s">
        <v>18</v>
      </c>
      <c r="E17" s="319">
        <v>0</v>
      </c>
      <c r="F17" s="320">
        <v>0</v>
      </c>
      <c r="G17" s="314">
        <f t="shared" si="0"/>
        <v>0</v>
      </c>
      <c r="H17" s="314">
        <f t="shared" si="1"/>
        <v>0</v>
      </c>
      <c r="I17" s="314">
        <f t="shared" si="2"/>
        <v>0</v>
      </c>
      <c r="J17" s="313" t="s">
        <v>300</v>
      </c>
    </row>
    <row r="18" spans="1:10" x14ac:dyDescent="0.25">
      <c r="A18" s="252">
        <f>IF(C18&lt;&gt;"",1+MAX($A$7:A17),"")</f>
        <v>8</v>
      </c>
      <c r="B18" s="312" t="s">
        <v>307</v>
      </c>
      <c r="C18" s="310">
        <f>3+19</f>
        <v>22</v>
      </c>
      <c r="D18" s="311" t="s">
        <v>18</v>
      </c>
      <c r="E18" s="319">
        <v>0</v>
      </c>
      <c r="F18" s="320">
        <v>0</v>
      </c>
      <c r="G18" s="314">
        <f t="shared" si="0"/>
        <v>0</v>
      </c>
      <c r="H18" s="314">
        <f t="shared" si="1"/>
        <v>0</v>
      </c>
      <c r="I18" s="314">
        <f t="shared" si="2"/>
        <v>0</v>
      </c>
      <c r="J18" s="313" t="s">
        <v>300</v>
      </c>
    </row>
    <row r="19" spans="1:10" x14ac:dyDescent="0.25">
      <c r="A19" s="252">
        <f>IF(C19&lt;&gt;"",1+MAX($A$7:A18),"")</f>
        <v>9</v>
      </c>
      <c r="B19" s="312" t="s">
        <v>308</v>
      </c>
      <c r="C19" s="310">
        <v>41</v>
      </c>
      <c r="D19" s="311" t="s">
        <v>18</v>
      </c>
      <c r="E19" s="319">
        <v>0</v>
      </c>
      <c r="F19" s="320">
        <v>0</v>
      </c>
      <c r="G19" s="314">
        <f t="shared" si="0"/>
        <v>0</v>
      </c>
      <c r="H19" s="314">
        <f t="shared" si="1"/>
        <v>0</v>
      </c>
      <c r="I19" s="314">
        <f t="shared" si="2"/>
        <v>0</v>
      </c>
      <c r="J19" s="313" t="s">
        <v>300</v>
      </c>
    </row>
    <row r="20" spans="1:10" x14ac:dyDescent="0.25">
      <c r="A20" s="252">
        <f>IF(C20&lt;&gt;"",1+MAX($A$7:A19),"")</f>
        <v>10</v>
      </c>
      <c r="B20" s="312" t="s">
        <v>309</v>
      </c>
      <c r="C20" s="310">
        <v>39</v>
      </c>
      <c r="D20" s="311" t="s">
        <v>18</v>
      </c>
      <c r="E20" s="319">
        <v>0</v>
      </c>
      <c r="F20" s="320">
        <v>0</v>
      </c>
      <c r="G20" s="314">
        <f t="shared" si="0"/>
        <v>0</v>
      </c>
      <c r="H20" s="314">
        <f t="shared" si="1"/>
        <v>0</v>
      </c>
      <c r="I20" s="314">
        <f t="shared" si="2"/>
        <v>0</v>
      </c>
      <c r="J20" s="313" t="s">
        <v>300</v>
      </c>
    </row>
    <row r="21" spans="1:10" x14ac:dyDescent="0.25">
      <c r="A21" s="252">
        <f>IF(C21&lt;&gt;"",1+MAX($A$7:A20),"")</f>
        <v>11</v>
      </c>
      <c r="B21" s="312" t="s">
        <v>310</v>
      </c>
      <c r="C21" s="310">
        <v>72</v>
      </c>
      <c r="D21" s="311" t="s">
        <v>18</v>
      </c>
      <c r="E21" s="319">
        <v>0</v>
      </c>
      <c r="F21" s="320">
        <v>0</v>
      </c>
      <c r="G21" s="314">
        <f t="shared" si="0"/>
        <v>0</v>
      </c>
      <c r="H21" s="314">
        <f t="shared" si="1"/>
        <v>0</v>
      </c>
      <c r="I21" s="314">
        <f t="shared" si="2"/>
        <v>0</v>
      </c>
      <c r="J21" s="313" t="s">
        <v>300</v>
      </c>
    </row>
    <row r="22" spans="1:10" x14ac:dyDescent="0.25">
      <c r="A22" s="252">
        <f>IF(C22&lt;&gt;"",1+MAX($A$7:A21),"")</f>
        <v>12</v>
      </c>
      <c r="B22" s="312" t="s">
        <v>311</v>
      </c>
      <c r="C22" s="310">
        <v>42</v>
      </c>
      <c r="D22" s="311" t="s">
        <v>18</v>
      </c>
      <c r="E22" s="319">
        <v>0</v>
      </c>
      <c r="F22" s="320">
        <v>0</v>
      </c>
      <c r="G22" s="314">
        <f t="shared" si="0"/>
        <v>0</v>
      </c>
      <c r="H22" s="314">
        <f t="shared" si="1"/>
        <v>0</v>
      </c>
      <c r="I22" s="314">
        <f t="shared" si="2"/>
        <v>0</v>
      </c>
      <c r="J22" s="313" t="s">
        <v>300</v>
      </c>
    </row>
    <row r="23" spans="1:10" x14ac:dyDescent="0.25">
      <c r="A23" s="252">
        <f>IF(C23&lt;&gt;"",1+MAX($A$7:A22),"")</f>
        <v>13</v>
      </c>
      <c r="B23" s="312" t="s">
        <v>312</v>
      </c>
      <c r="C23" s="310">
        <v>8</v>
      </c>
      <c r="D23" s="311" t="s">
        <v>18</v>
      </c>
      <c r="E23" s="319">
        <v>0</v>
      </c>
      <c r="F23" s="320">
        <v>0</v>
      </c>
      <c r="G23" s="314">
        <f t="shared" si="0"/>
        <v>0</v>
      </c>
      <c r="H23" s="314">
        <f t="shared" si="1"/>
        <v>0</v>
      </c>
      <c r="I23" s="314">
        <f t="shared" si="2"/>
        <v>0</v>
      </c>
      <c r="J23" s="313" t="s">
        <v>300</v>
      </c>
    </row>
    <row r="24" spans="1:10" x14ac:dyDescent="0.25">
      <c r="A24" s="252">
        <f>IF(C24&lt;&gt;"",1+MAX($A$7:A23),"")</f>
        <v>14</v>
      </c>
      <c r="B24" s="312" t="s">
        <v>313</v>
      </c>
      <c r="C24" s="310">
        <v>14</v>
      </c>
      <c r="D24" s="311" t="s">
        <v>18</v>
      </c>
      <c r="E24" s="319">
        <v>0</v>
      </c>
      <c r="F24" s="320">
        <v>0</v>
      </c>
      <c r="G24" s="314">
        <f t="shared" si="0"/>
        <v>0</v>
      </c>
      <c r="H24" s="314">
        <f t="shared" si="1"/>
        <v>0</v>
      </c>
      <c r="I24" s="314">
        <f t="shared" si="2"/>
        <v>0</v>
      </c>
      <c r="J24" s="313"/>
    </row>
    <row r="25" spans="1:10" x14ac:dyDescent="0.25">
      <c r="A25" s="252">
        <f>IF(C25&lt;&gt;"",1+MAX($A$7:A24),"")</f>
        <v>15</v>
      </c>
      <c r="B25" s="312" t="s">
        <v>314</v>
      </c>
      <c r="C25" s="310">
        <v>1</v>
      </c>
      <c r="D25" s="311" t="s">
        <v>18</v>
      </c>
      <c r="E25" s="319">
        <v>0</v>
      </c>
      <c r="F25" s="320">
        <v>0</v>
      </c>
      <c r="G25" s="314">
        <f t="shared" si="0"/>
        <v>0</v>
      </c>
      <c r="H25" s="314">
        <f t="shared" si="1"/>
        <v>0</v>
      </c>
      <c r="I25" s="314">
        <f t="shared" si="2"/>
        <v>0</v>
      </c>
      <c r="J25" s="313"/>
    </row>
    <row r="26" spans="1:10" x14ac:dyDescent="0.25">
      <c r="A26" s="252">
        <f>IF(C26&lt;&gt;"",1+MAX($A$7:A25),"")</f>
        <v>16</v>
      </c>
      <c r="B26" s="312" t="s">
        <v>315</v>
      </c>
      <c r="C26" s="310">
        <v>2</v>
      </c>
      <c r="D26" s="311" t="s">
        <v>18</v>
      </c>
      <c r="E26" s="319">
        <v>0</v>
      </c>
      <c r="F26" s="320">
        <v>0</v>
      </c>
      <c r="G26" s="314">
        <f t="shared" si="0"/>
        <v>0</v>
      </c>
      <c r="H26" s="314">
        <f t="shared" si="1"/>
        <v>0</v>
      </c>
      <c r="I26" s="314">
        <f t="shared" si="2"/>
        <v>0</v>
      </c>
      <c r="J26" s="313"/>
    </row>
    <row r="27" spans="1:10" x14ac:dyDescent="0.25">
      <c r="A27" s="252">
        <f>IF(C27&lt;&gt;"",1+MAX($A$7:A26),"")</f>
        <v>17</v>
      </c>
      <c r="B27" s="312" t="s">
        <v>316</v>
      </c>
      <c r="C27" s="310">
        <v>2</v>
      </c>
      <c r="D27" s="311" t="s">
        <v>18</v>
      </c>
      <c r="E27" s="319">
        <v>0</v>
      </c>
      <c r="F27" s="320">
        <v>0</v>
      </c>
      <c r="G27" s="314">
        <f t="shared" si="0"/>
        <v>0</v>
      </c>
      <c r="H27" s="314">
        <f t="shared" si="1"/>
        <v>0</v>
      </c>
      <c r="I27" s="314">
        <f t="shared" si="2"/>
        <v>0</v>
      </c>
      <c r="J27" s="313"/>
    </row>
    <row r="28" spans="1:10" x14ac:dyDescent="0.25">
      <c r="A28" s="252">
        <f>IF(C28&lt;&gt;"",1+MAX($A$7:A27),"")</f>
        <v>18</v>
      </c>
      <c r="B28" s="312" t="s">
        <v>317</v>
      </c>
      <c r="C28" s="310">
        <v>6</v>
      </c>
      <c r="D28" s="311" t="s">
        <v>18</v>
      </c>
      <c r="E28" s="319">
        <v>0</v>
      </c>
      <c r="F28" s="320">
        <v>0</v>
      </c>
      <c r="G28" s="314">
        <f t="shared" si="0"/>
        <v>0</v>
      </c>
      <c r="H28" s="314">
        <f t="shared" si="1"/>
        <v>0</v>
      </c>
      <c r="I28" s="314">
        <f t="shared" si="2"/>
        <v>0</v>
      </c>
      <c r="J28" s="313"/>
    </row>
    <row r="29" spans="1:10" x14ac:dyDescent="0.25">
      <c r="A29" s="252">
        <f>IF(C29&lt;&gt;"",1+MAX($A$7:A28),"")</f>
        <v>19</v>
      </c>
      <c r="B29" s="312" t="s">
        <v>318</v>
      </c>
      <c r="C29" s="310">
        <v>11</v>
      </c>
      <c r="D29" s="311" t="s">
        <v>18</v>
      </c>
      <c r="E29" s="319">
        <v>0</v>
      </c>
      <c r="F29" s="320">
        <v>0</v>
      </c>
      <c r="G29" s="314">
        <f t="shared" si="0"/>
        <v>0</v>
      </c>
      <c r="H29" s="314">
        <f t="shared" si="1"/>
        <v>0</v>
      </c>
      <c r="I29" s="314">
        <f t="shared" si="2"/>
        <v>0</v>
      </c>
      <c r="J29" s="313"/>
    </row>
    <row r="30" spans="1:10" x14ac:dyDescent="0.25">
      <c r="A30" s="252">
        <f>IF(C30&lt;&gt;"",1+MAX($A$7:A29),"")</f>
        <v>20</v>
      </c>
      <c r="B30" s="312" t="s">
        <v>319</v>
      </c>
      <c r="C30" s="310">
        <v>2</v>
      </c>
      <c r="D30" s="311" t="s">
        <v>18</v>
      </c>
      <c r="E30" s="319">
        <v>0</v>
      </c>
      <c r="F30" s="320">
        <v>0</v>
      </c>
      <c r="G30" s="314">
        <f t="shared" si="0"/>
        <v>0</v>
      </c>
      <c r="H30" s="314">
        <f t="shared" si="1"/>
        <v>0</v>
      </c>
      <c r="I30" s="314">
        <f t="shared" si="2"/>
        <v>0</v>
      </c>
      <c r="J30" s="313"/>
    </row>
    <row r="31" spans="1:10" x14ac:dyDescent="0.25">
      <c r="A31" s="252">
        <f>IF(C31&lt;&gt;"",1+MAX($A$7:A30),"")</f>
        <v>21</v>
      </c>
      <c r="B31" s="312" t="s">
        <v>320</v>
      </c>
      <c r="C31" s="310">
        <v>4</v>
      </c>
      <c r="D31" s="311" t="s">
        <v>18</v>
      </c>
      <c r="E31" s="319">
        <v>0</v>
      </c>
      <c r="F31" s="320">
        <v>0</v>
      </c>
      <c r="G31" s="314">
        <f t="shared" si="0"/>
        <v>0</v>
      </c>
      <c r="H31" s="314">
        <f t="shared" si="1"/>
        <v>0</v>
      </c>
      <c r="I31" s="314">
        <f t="shared" si="2"/>
        <v>0</v>
      </c>
      <c r="J31" s="313"/>
    </row>
    <row r="32" spans="1:10" x14ac:dyDescent="0.25">
      <c r="A32" s="252">
        <f>IF(C32&lt;&gt;"",1+MAX($A$7:A31),"")</f>
        <v>22</v>
      </c>
      <c r="B32" s="312" t="s">
        <v>321</v>
      </c>
      <c r="C32" s="310">
        <v>1</v>
      </c>
      <c r="D32" s="311" t="s">
        <v>18</v>
      </c>
      <c r="E32" s="319">
        <v>0</v>
      </c>
      <c r="F32" s="320">
        <v>0</v>
      </c>
      <c r="G32" s="314">
        <f t="shared" si="0"/>
        <v>0</v>
      </c>
      <c r="H32" s="314">
        <f t="shared" si="1"/>
        <v>0</v>
      </c>
      <c r="I32" s="314">
        <f t="shared" si="2"/>
        <v>0</v>
      </c>
      <c r="J32" s="313"/>
    </row>
    <row r="33" spans="1:10" x14ac:dyDescent="0.25">
      <c r="A33" s="252">
        <f>IF(C33&lt;&gt;"",1+MAX($A$7:A32),"")</f>
        <v>23</v>
      </c>
      <c r="B33" s="312" t="s">
        <v>322</v>
      </c>
      <c r="C33" s="310">
        <v>3</v>
      </c>
      <c r="D33" s="311" t="s">
        <v>18</v>
      </c>
      <c r="E33" s="319">
        <v>0</v>
      </c>
      <c r="F33" s="320">
        <v>0</v>
      </c>
      <c r="G33" s="314">
        <f t="shared" si="0"/>
        <v>0</v>
      </c>
      <c r="H33" s="314">
        <f t="shared" si="1"/>
        <v>0</v>
      </c>
      <c r="I33" s="314">
        <f t="shared" si="2"/>
        <v>0</v>
      </c>
      <c r="J33" s="313"/>
    </row>
    <row r="34" spans="1:10" x14ac:dyDescent="0.25">
      <c r="A34" s="252">
        <f>IF(C34&lt;&gt;"",1+MAX($A$7:A33),"")</f>
        <v>24</v>
      </c>
      <c r="B34" s="312" t="s">
        <v>323</v>
      </c>
      <c r="C34" s="310">
        <v>1</v>
      </c>
      <c r="D34" s="311" t="s">
        <v>18</v>
      </c>
      <c r="E34" s="319">
        <v>0</v>
      </c>
      <c r="F34" s="320">
        <v>0</v>
      </c>
      <c r="G34" s="314">
        <f t="shared" si="0"/>
        <v>0</v>
      </c>
      <c r="H34" s="314">
        <f t="shared" si="1"/>
        <v>0</v>
      </c>
      <c r="I34" s="314">
        <f t="shared" si="2"/>
        <v>0</v>
      </c>
      <c r="J34" s="313"/>
    </row>
    <row r="35" spans="1:10" ht="16.5" thickBot="1" x14ac:dyDescent="0.3">
      <c r="A35" s="252" t="str">
        <f>IF(C35&lt;&gt;"",1+MAX($A$7:A34),"")</f>
        <v/>
      </c>
      <c r="B35" s="312"/>
      <c r="C35" s="310"/>
      <c r="D35" s="311"/>
      <c r="E35" s="312"/>
      <c r="F35" s="312"/>
      <c r="G35" s="312"/>
      <c r="H35" s="312"/>
      <c r="I35" s="312"/>
      <c r="J35" s="313"/>
    </row>
    <row r="36" spans="1:10" ht="16.5" thickBot="1" x14ac:dyDescent="0.3">
      <c r="A36" s="252" t="str">
        <f>IF(C36&lt;&gt;"",1+MAX($A$7:A35),"")</f>
        <v/>
      </c>
      <c r="B36" s="309" t="s">
        <v>324</v>
      </c>
      <c r="C36" s="310"/>
      <c r="D36" s="311"/>
      <c r="E36" s="312"/>
      <c r="F36" s="312"/>
      <c r="G36" s="312"/>
      <c r="H36" s="312"/>
      <c r="I36" s="312"/>
      <c r="J36" s="313"/>
    </row>
    <row r="37" spans="1:10" x14ac:dyDescent="0.25">
      <c r="A37" s="252" t="str">
        <f>IF(C37&lt;&gt;"",1+MAX($A$7:A36),"")</f>
        <v/>
      </c>
      <c r="B37" s="306"/>
      <c r="C37" s="310"/>
      <c r="D37" s="311"/>
      <c r="E37" s="312"/>
      <c r="F37" s="312"/>
      <c r="G37" s="312"/>
      <c r="H37" s="312"/>
      <c r="I37" s="312"/>
      <c r="J37" s="313"/>
    </row>
    <row r="38" spans="1:10" x14ac:dyDescent="0.25">
      <c r="A38" s="252">
        <f>IF(C38&lt;&gt;"",1+MAX($A$7:A37),"")</f>
        <v>25</v>
      </c>
      <c r="B38" s="312" t="s">
        <v>325</v>
      </c>
      <c r="C38" s="310">
        <v>1</v>
      </c>
      <c r="D38" s="311" t="s">
        <v>18</v>
      </c>
      <c r="E38" s="319">
        <v>0</v>
      </c>
      <c r="F38" s="320">
        <v>0</v>
      </c>
      <c r="G38" s="314">
        <f t="shared" ref="G38:G55" si="3">+C38*E38</f>
        <v>0</v>
      </c>
      <c r="H38" s="314">
        <f t="shared" ref="H38:H55" si="4">+C38*F38</f>
        <v>0</v>
      </c>
      <c r="I38" s="314">
        <f t="shared" ref="I38:I55" si="5">+G38+H38</f>
        <v>0</v>
      </c>
      <c r="J38" s="313" t="s">
        <v>326</v>
      </c>
    </row>
    <row r="39" spans="1:10" x14ac:dyDescent="0.25">
      <c r="A39" s="252">
        <f>IF(C39&lt;&gt;"",1+MAX($A$7:A38),"")</f>
        <v>26</v>
      </c>
      <c r="B39" s="312" t="s">
        <v>327</v>
      </c>
      <c r="C39" s="310">
        <v>28</v>
      </c>
      <c r="D39" s="311" t="s">
        <v>18</v>
      </c>
      <c r="E39" s="319">
        <v>0</v>
      </c>
      <c r="F39" s="320">
        <v>0</v>
      </c>
      <c r="G39" s="314">
        <f t="shared" si="3"/>
        <v>0</v>
      </c>
      <c r="H39" s="314">
        <f t="shared" si="4"/>
        <v>0</v>
      </c>
      <c r="I39" s="314">
        <f t="shared" si="5"/>
        <v>0</v>
      </c>
      <c r="J39" s="313" t="s">
        <v>326</v>
      </c>
    </row>
    <row r="40" spans="1:10" x14ac:dyDescent="0.25">
      <c r="A40" s="252">
        <f>IF(C40&lt;&gt;"",1+MAX($A$7:A39),"")</f>
        <v>27</v>
      </c>
      <c r="B40" s="312" t="s">
        <v>328</v>
      </c>
      <c r="C40" s="310">
        <v>16</v>
      </c>
      <c r="D40" s="311" t="s">
        <v>18</v>
      </c>
      <c r="E40" s="319">
        <v>0</v>
      </c>
      <c r="F40" s="320">
        <v>0</v>
      </c>
      <c r="G40" s="314">
        <f t="shared" si="3"/>
        <v>0</v>
      </c>
      <c r="H40" s="314">
        <f t="shared" si="4"/>
        <v>0</v>
      </c>
      <c r="I40" s="314">
        <f t="shared" si="5"/>
        <v>0</v>
      </c>
      <c r="J40" s="313" t="s">
        <v>326</v>
      </c>
    </row>
    <row r="41" spans="1:10" x14ac:dyDescent="0.25">
      <c r="A41" s="252">
        <f>IF(C41&lt;&gt;"",1+MAX($A$7:A40),"")</f>
        <v>28</v>
      </c>
      <c r="B41" s="312" t="s">
        <v>329</v>
      </c>
      <c r="C41" s="310">
        <v>4</v>
      </c>
      <c r="D41" s="311" t="s">
        <v>18</v>
      </c>
      <c r="E41" s="319">
        <v>0</v>
      </c>
      <c r="F41" s="320">
        <v>0</v>
      </c>
      <c r="G41" s="314">
        <f t="shared" si="3"/>
        <v>0</v>
      </c>
      <c r="H41" s="314">
        <f t="shared" si="4"/>
        <v>0</v>
      </c>
      <c r="I41" s="314">
        <f t="shared" si="5"/>
        <v>0</v>
      </c>
      <c r="J41" s="313" t="s">
        <v>326</v>
      </c>
    </row>
    <row r="42" spans="1:10" x14ac:dyDescent="0.25">
      <c r="A42" s="252">
        <f>IF(C42&lt;&gt;"",1+MAX($A$7:A41),"")</f>
        <v>29</v>
      </c>
      <c r="B42" s="312" t="s">
        <v>330</v>
      </c>
      <c r="C42" s="310">
        <v>2</v>
      </c>
      <c r="D42" s="311" t="s">
        <v>18</v>
      </c>
      <c r="E42" s="319">
        <v>0</v>
      </c>
      <c r="F42" s="320">
        <v>0</v>
      </c>
      <c r="G42" s="314">
        <f t="shared" si="3"/>
        <v>0</v>
      </c>
      <c r="H42" s="314">
        <f t="shared" si="4"/>
        <v>0</v>
      </c>
      <c r="I42" s="314">
        <f t="shared" si="5"/>
        <v>0</v>
      </c>
      <c r="J42" s="313" t="s">
        <v>326</v>
      </c>
    </row>
    <row r="43" spans="1:10" x14ac:dyDescent="0.25">
      <c r="A43" s="252">
        <f>IF(C43&lt;&gt;"",1+MAX($A$7:A42),"")</f>
        <v>30</v>
      </c>
      <c r="B43" s="312" t="s">
        <v>331</v>
      </c>
      <c r="C43" s="310">
        <v>8</v>
      </c>
      <c r="D43" s="311" t="s">
        <v>18</v>
      </c>
      <c r="E43" s="319">
        <v>0</v>
      </c>
      <c r="F43" s="320">
        <v>0</v>
      </c>
      <c r="G43" s="314">
        <f t="shared" si="3"/>
        <v>0</v>
      </c>
      <c r="H43" s="314">
        <f t="shared" si="4"/>
        <v>0</v>
      </c>
      <c r="I43" s="314">
        <f t="shared" si="5"/>
        <v>0</v>
      </c>
      <c r="J43" s="313" t="s">
        <v>326</v>
      </c>
    </row>
    <row r="44" spans="1:10" x14ac:dyDescent="0.25">
      <c r="A44" s="252">
        <f>IF(C44&lt;&gt;"",1+MAX($A$7:A43),"")</f>
        <v>31</v>
      </c>
      <c r="B44" s="312" t="s">
        <v>332</v>
      </c>
      <c r="C44" s="310">
        <v>11</v>
      </c>
      <c r="D44" s="311" t="s">
        <v>18</v>
      </c>
      <c r="E44" s="319">
        <v>0</v>
      </c>
      <c r="F44" s="320">
        <v>0</v>
      </c>
      <c r="G44" s="314">
        <f t="shared" si="3"/>
        <v>0</v>
      </c>
      <c r="H44" s="314">
        <f t="shared" si="4"/>
        <v>0</v>
      </c>
      <c r="I44" s="314">
        <f t="shared" si="5"/>
        <v>0</v>
      </c>
      <c r="J44" s="313" t="s">
        <v>326</v>
      </c>
    </row>
    <row r="45" spans="1:10" x14ac:dyDescent="0.25">
      <c r="A45" s="252">
        <f>IF(C45&lt;&gt;"",1+MAX($A$7:A44),"")</f>
        <v>32</v>
      </c>
      <c r="B45" s="312" t="s">
        <v>333</v>
      </c>
      <c r="C45" s="310">
        <v>31</v>
      </c>
      <c r="D45" s="311" t="s">
        <v>18</v>
      </c>
      <c r="E45" s="319">
        <v>0</v>
      </c>
      <c r="F45" s="320">
        <v>0</v>
      </c>
      <c r="G45" s="314">
        <f t="shared" si="3"/>
        <v>0</v>
      </c>
      <c r="H45" s="314">
        <f t="shared" si="4"/>
        <v>0</v>
      </c>
      <c r="I45" s="314">
        <f t="shared" si="5"/>
        <v>0</v>
      </c>
      <c r="J45" s="313" t="s">
        <v>326</v>
      </c>
    </row>
    <row r="46" spans="1:10" x14ac:dyDescent="0.25">
      <c r="A46" s="252">
        <f>IF(C46&lt;&gt;"",1+MAX($A$7:A45),"")</f>
        <v>33</v>
      </c>
      <c r="B46" s="312" t="s">
        <v>334</v>
      </c>
      <c r="C46" s="310">
        <v>31</v>
      </c>
      <c r="D46" s="311" t="s">
        <v>18</v>
      </c>
      <c r="E46" s="319">
        <v>0</v>
      </c>
      <c r="F46" s="320">
        <v>0</v>
      </c>
      <c r="G46" s="314">
        <f t="shared" si="3"/>
        <v>0</v>
      </c>
      <c r="H46" s="314">
        <f t="shared" si="4"/>
        <v>0</v>
      </c>
      <c r="I46" s="314">
        <f t="shared" si="5"/>
        <v>0</v>
      </c>
      <c r="J46" s="313" t="s">
        <v>326</v>
      </c>
    </row>
    <row r="47" spans="1:10" x14ac:dyDescent="0.25">
      <c r="A47" s="252">
        <f>IF(C47&lt;&gt;"",1+MAX($A$7:A46),"")</f>
        <v>34</v>
      </c>
      <c r="B47" s="312" t="s">
        <v>335</v>
      </c>
      <c r="C47" s="310">
        <v>4</v>
      </c>
      <c r="D47" s="311" t="s">
        <v>18</v>
      </c>
      <c r="E47" s="319">
        <v>0</v>
      </c>
      <c r="F47" s="320">
        <v>0</v>
      </c>
      <c r="G47" s="314">
        <f t="shared" si="3"/>
        <v>0</v>
      </c>
      <c r="H47" s="314">
        <f t="shared" si="4"/>
        <v>0</v>
      </c>
      <c r="I47" s="314">
        <f t="shared" si="5"/>
        <v>0</v>
      </c>
      <c r="J47" s="313" t="s">
        <v>326</v>
      </c>
    </row>
    <row r="48" spans="1:10" x14ac:dyDescent="0.25">
      <c r="A48" s="252">
        <f>IF(C48&lt;&gt;"",1+MAX($A$7:A47),"")</f>
        <v>35</v>
      </c>
      <c r="B48" s="312" t="s">
        <v>313</v>
      </c>
      <c r="C48" s="310">
        <v>1</v>
      </c>
      <c r="D48" s="311" t="s">
        <v>18</v>
      </c>
      <c r="E48" s="319">
        <v>0</v>
      </c>
      <c r="F48" s="320">
        <v>0</v>
      </c>
      <c r="G48" s="314">
        <f t="shared" si="3"/>
        <v>0</v>
      </c>
      <c r="H48" s="314">
        <f t="shared" si="4"/>
        <v>0</v>
      </c>
      <c r="I48" s="314">
        <f t="shared" si="5"/>
        <v>0</v>
      </c>
      <c r="J48" s="313"/>
    </row>
    <row r="49" spans="1:10" x14ac:dyDescent="0.25">
      <c r="A49" s="252">
        <f>IF(C49&lt;&gt;"",1+MAX($A$7:A48),"")</f>
        <v>36</v>
      </c>
      <c r="B49" s="312" t="s">
        <v>316</v>
      </c>
      <c r="C49" s="310">
        <v>2</v>
      </c>
      <c r="D49" s="311" t="s">
        <v>18</v>
      </c>
      <c r="E49" s="319">
        <v>0</v>
      </c>
      <c r="F49" s="320">
        <v>0</v>
      </c>
      <c r="G49" s="314">
        <f t="shared" si="3"/>
        <v>0</v>
      </c>
      <c r="H49" s="314">
        <f t="shared" si="4"/>
        <v>0</v>
      </c>
      <c r="I49" s="314">
        <f t="shared" si="5"/>
        <v>0</v>
      </c>
      <c r="J49" s="313"/>
    </row>
    <row r="50" spans="1:10" x14ac:dyDescent="0.25">
      <c r="A50" s="252">
        <f>IF(C50&lt;&gt;"",1+MAX($A$7:A49),"")</f>
        <v>37</v>
      </c>
      <c r="B50" s="312" t="s">
        <v>317</v>
      </c>
      <c r="C50" s="310">
        <v>2</v>
      </c>
      <c r="D50" s="311" t="s">
        <v>18</v>
      </c>
      <c r="E50" s="319">
        <v>0</v>
      </c>
      <c r="F50" s="320">
        <v>0</v>
      </c>
      <c r="G50" s="314">
        <f t="shared" si="3"/>
        <v>0</v>
      </c>
      <c r="H50" s="314">
        <f t="shared" si="4"/>
        <v>0</v>
      </c>
      <c r="I50" s="314">
        <f t="shared" si="5"/>
        <v>0</v>
      </c>
      <c r="J50" s="313"/>
    </row>
    <row r="51" spans="1:10" x14ac:dyDescent="0.25">
      <c r="A51" s="252">
        <f>IF(C51&lt;&gt;"",1+MAX($A$7:A50),"")</f>
        <v>38</v>
      </c>
      <c r="B51" s="312" t="s">
        <v>320</v>
      </c>
      <c r="C51" s="310">
        <v>2</v>
      </c>
      <c r="D51" s="311" t="s">
        <v>18</v>
      </c>
      <c r="E51" s="319">
        <v>0</v>
      </c>
      <c r="F51" s="320">
        <v>0</v>
      </c>
      <c r="G51" s="314">
        <f t="shared" si="3"/>
        <v>0</v>
      </c>
      <c r="H51" s="314">
        <f t="shared" si="4"/>
        <v>0</v>
      </c>
      <c r="I51" s="314">
        <f t="shared" si="5"/>
        <v>0</v>
      </c>
      <c r="J51" s="313"/>
    </row>
    <row r="52" spans="1:10" x14ac:dyDescent="0.25">
      <c r="A52" s="252">
        <f>IF(C52&lt;&gt;"",1+MAX($A$7:A51),"")</f>
        <v>39</v>
      </c>
      <c r="B52" s="312" t="s">
        <v>321</v>
      </c>
      <c r="C52" s="310">
        <v>1</v>
      </c>
      <c r="D52" s="311" t="s">
        <v>18</v>
      </c>
      <c r="E52" s="319">
        <v>0</v>
      </c>
      <c r="F52" s="320">
        <v>0</v>
      </c>
      <c r="G52" s="314">
        <f t="shared" si="3"/>
        <v>0</v>
      </c>
      <c r="H52" s="314">
        <f t="shared" si="4"/>
        <v>0</v>
      </c>
      <c r="I52" s="314">
        <f t="shared" si="5"/>
        <v>0</v>
      </c>
      <c r="J52" s="313"/>
    </row>
    <row r="53" spans="1:10" x14ac:dyDescent="0.25">
      <c r="A53" s="252">
        <f>IF(C53&lt;&gt;"",1+MAX($A$7:A52),"")</f>
        <v>40</v>
      </c>
      <c r="B53" s="312" t="s">
        <v>322</v>
      </c>
      <c r="C53" s="310">
        <v>1</v>
      </c>
      <c r="D53" s="311" t="s">
        <v>18</v>
      </c>
      <c r="E53" s="319">
        <v>0</v>
      </c>
      <c r="F53" s="320">
        <v>0</v>
      </c>
      <c r="G53" s="314">
        <f t="shared" si="3"/>
        <v>0</v>
      </c>
      <c r="H53" s="314">
        <f t="shared" si="4"/>
        <v>0</v>
      </c>
      <c r="I53" s="314">
        <f t="shared" si="5"/>
        <v>0</v>
      </c>
      <c r="J53" s="313"/>
    </row>
    <row r="54" spans="1:10" x14ac:dyDescent="0.25">
      <c r="A54" s="252">
        <f>IF(C54&lt;&gt;"",1+MAX($A$7:A53),"")</f>
        <v>41</v>
      </c>
      <c r="B54" s="312" t="s">
        <v>336</v>
      </c>
      <c r="C54" s="310">
        <v>1</v>
      </c>
      <c r="D54" s="311" t="s">
        <v>18</v>
      </c>
      <c r="E54" s="319">
        <v>0</v>
      </c>
      <c r="F54" s="320">
        <v>0</v>
      </c>
      <c r="G54" s="314">
        <f t="shared" si="3"/>
        <v>0</v>
      </c>
      <c r="H54" s="314">
        <f t="shared" si="4"/>
        <v>0</v>
      </c>
      <c r="I54" s="314">
        <f t="shared" si="5"/>
        <v>0</v>
      </c>
      <c r="J54" s="313"/>
    </row>
    <row r="55" spans="1:10" x14ac:dyDescent="0.25">
      <c r="A55" s="252">
        <f>IF(C55&lt;&gt;"",1+MAX($A$7:A54),"")</f>
        <v>42</v>
      </c>
      <c r="B55" s="312" t="s">
        <v>323</v>
      </c>
      <c r="C55" s="310">
        <v>1</v>
      </c>
      <c r="D55" s="311" t="s">
        <v>18</v>
      </c>
      <c r="E55" s="319">
        <v>0</v>
      </c>
      <c r="F55" s="320">
        <v>0</v>
      </c>
      <c r="G55" s="314">
        <f t="shared" si="3"/>
        <v>0</v>
      </c>
      <c r="H55" s="314">
        <f t="shared" si="4"/>
        <v>0</v>
      </c>
      <c r="I55" s="314">
        <f t="shared" si="5"/>
        <v>0</v>
      </c>
      <c r="J55" s="313"/>
    </row>
    <row r="56" spans="1:10" ht="16.5" thickBot="1" x14ac:dyDescent="0.3">
      <c r="A56" s="252" t="str">
        <f>IF(C56&lt;&gt;"",1+MAX($A$7:A55),"")</f>
        <v/>
      </c>
      <c r="B56" s="312"/>
      <c r="C56" s="310"/>
      <c r="D56" s="311"/>
      <c r="E56" s="312"/>
      <c r="F56" s="312"/>
      <c r="G56" s="312"/>
      <c r="H56" s="312"/>
      <c r="I56" s="312"/>
      <c r="J56" s="313"/>
    </row>
    <row r="57" spans="1:10" ht="16.5" thickBot="1" x14ac:dyDescent="0.3">
      <c r="A57" s="252" t="str">
        <f>IF(C57&lt;&gt;"",1+MAX($A$7:A56),"")</f>
        <v/>
      </c>
      <c r="B57" s="309" t="s">
        <v>270</v>
      </c>
      <c r="C57" s="310"/>
      <c r="D57" s="311"/>
      <c r="E57" s="312"/>
      <c r="F57" s="312"/>
      <c r="G57" s="312"/>
      <c r="H57" s="312"/>
      <c r="I57" s="312"/>
      <c r="J57" s="313"/>
    </row>
    <row r="58" spans="1:10" x14ac:dyDescent="0.25">
      <c r="A58" s="252" t="str">
        <f>IF(C58&lt;&gt;"",1+MAX($A$7:A57),"")</f>
        <v/>
      </c>
      <c r="B58" s="306"/>
      <c r="C58" s="310"/>
      <c r="D58" s="311"/>
      <c r="E58" s="312"/>
      <c r="F58" s="312"/>
      <c r="G58" s="312"/>
      <c r="H58" s="312"/>
      <c r="I58" s="312"/>
      <c r="J58" s="313"/>
    </row>
    <row r="59" spans="1:10" x14ac:dyDescent="0.25">
      <c r="A59" s="252">
        <f>IF(C59&lt;&gt;"",1+MAX($A$7:A58),"")</f>
        <v>43</v>
      </c>
      <c r="B59" s="312" t="s">
        <v>337</v>
      </c>
      <c r="C59" s="310">
        <v>51</v>
      </c>
      <c r="D59" s="311" t="s">
        <v>18</v>
      </c>
      <c r="E59" s="319">
        <v>0</v>
      </c>
      <c r="F59" s="320">
        <v>0</v>
      </c>
      <c r="G59" s="314">
        <f t="shared" ref="G59:G62" si="6">+C59*E59</f>
        <v>0</v>
      </c>
      <c r="H59" s="314">
        <f t="shared" ref="H59:H62" si="7">+C59*F59</f>
        <v>0</v>
      </c>
      <c r="I59" s="314">
        <f t="shared" ref="I59:I62" si="8">+G59+H59</f>
        <v>0</v>
      </c>
      <c r="J59" s="313"/>
    </row>
    <row r="60" spans="1:10" x14ac:dyDescent="0.25">
      <c r="A60" s="252">
        <f>IF(C60&lt;&gt;"",1+MAX($A$7:A59),"")</f>
        <v>44</v>
      </c>
      <c r="B60" s="312" t="s">
        <v>338</v>
      </c>
      <c r="C60" s="310">
        <f>136*2</f>
        <v>272</v>
      </c>
      <c r="D60" s="311" t="s">
        <v>18</v>
      </c>
      <c r="E60" s="319">
        <v>0</v>
      </c>
      <c r="F60" s="320">
        <v>0</v>
      </c>
      <c r="G60" s="314">
        <f t="shared" si="6"/>
        <v>0</v>
      </c>
      <c r="H60" s="314">
        <f t="shared" si="7"/>
        <v>0</v>
      </c>
      <c r="I60" s="314">
        <f t="shared" si="8"/>
        <v>0</v>
      </c>
      <c r="J60" s="313"/>
    </row>
    <row r="61" spans="1:10" x14ac:dyDescent="0.25">
      <c r="A61" s="252">
        <f>IF(C61&lt;&gt;"",1+MAX($A$7:A60),"")</f>
        <v>45</v>
      </c>
      <c r="B61" s="312" t="s">
        <v>339</v>
      </c>
      <c r="C61" s="310">
        <f>49*2</f>
        <v>98</v>
      </c>
      <c r="D61" s="311" t="s">
        <v>18</v>
      </c>
      <c r="E61" s="319">
        <v>0</v>
      </c>
      <c r="F61" s="320">
        <v>0</v>
      </c>
      <c r="G61" s="314">
        <f t="shared" si="6"/>
        <v>0</v>
      </c>
      <c r="H61" s="314">
        <f t="shared" si="7"/>
        <v>0</v>
      </c>
      <c r="I61" s="314">
        <f t="shared" si="8"/>
        <v>0</v>
      </c>
      <c r="J61" s="313"/>
    </row>
    <row r="62" spans="1:10" x14ac:dyDescent="0.25">
      <c r="A62" s="252">
        <f>IF(C62&lt;&gt;"",1+MAX($A$7:A61),"")</f>
        <v>46</v>
      </c>
      <c r="B62" s="312" t="s">
        <v>340</v>
      </c>
      <c r="C62" s="310">
        <f>396*2</f>
        <v>792</v>
      </c>
      <c r="D62" s="311" t="s">
        <v>18</v>
      </c>
      <c r="E62" s="319">
        <v>0</v>
      </c>
      <c r="F62" s="320">
        <v>0</v>
      </c>
      <c r="G62" s="314">
        <f t="shared" si="6"/>
        <v>0</v>
      </c>
      <c r="H62" s="314">
        <f t="shared" si="7"/>
        <v>0</v>
      </c>
      <c r="I62" s="314">
        <f t="shared" si="8"/>
        <v>0</v>
      </c>
      <c r="J62" s="313"/>
    </row>
    <row r="63" spans="1:10" x14ac:dyDescent="0.25">
      <c r="A63" s="252" t="str">
        <f>IF(C63&lt;&gt;"",1+MAX($A$6:A62),"")</f>
        <v/>
      </c>
      <c r="B63" s="306"/>
      <c r="C63" s="310"/>
      <c r="D63" s="311"/>
      <c r="E63" s="312"/>
      <c r="F63" s="312"/>
      <c r="G63" s="312"/>
      <c r="H63" s="312"/>
      <c r="I63" s="312"/>
      <c r="J63" s="315"/>
    </row>
    <row r="64" spans="1:10" ht="31.5" x14ac:dyDescent="0.25">
      <c r="A64" s="252">
        <f>IF(C64&lt;&gt;"",1+MAX($A$6:A63),"")</f>
        <v>47</v>
      </c>
      <c r="B64" s="460" t="s">
        <v>644</v>
      </c>
      <c r="C64" s="447">
        <v>1</v>
      </c>
      <c r="D64" s="447" t="s">
        <v>48</v>
      </c>
      <c r="E64" s="319">
        <v>0</v>
      </c>
      <c r="F64" s="320">
        <v>0</v>
      </c>
      <c r="G64" s="453">
        <f>+C64*E64</f>
        <v>0</v>
      </c>
      <c r="H64" s="453">
        <f>+C64*F64</f>
        <v>0</v>
      </c>
      <c r="I64" s="453">
        <f t="shared" ref="I64" si="9">+G64+H64</f>
        <v>0</v>
      </c>
      <c r="J64" s="313"/>
    </row>
    <row r="65" spans="1:10" x14ac:dyDescent="0.25">
      <c r="A65" s="252" t="str">
        <f>IF(C65&lt;&gt;"",1+MAX($A$6:A64),"")</f>
        <v/>
      </c>
      <c r="B65" s="306"/>
      <c r="C65" s="310"/>
      <c r="D65" s="311"/>
      <c r="E65" s="312"/>
      <c r="F65" s="312"/>
      <c r="G65" s="312"/>
      <c r="H65" s="312"/>
      <c r="I65" s="312"/>
      <c r="J65" s="315"/>
    </row>
    <row r="66" spans="1:10" x14ac:dyDescent="0.25">
      <c r="A66" s="252" t="str">
        <f>IF(C66&lt;&gt;"",1+MAX($A$6:A65),"")</f>
        <v/>
      </c>
      <c r="B66" s="306"/>
      <c r="C66" s="310"/>
      <c r="D66" s="311"/>
      <c r="E66" s="312"/>
      <c r="F66" s="312"/>
      <c r="G66" s="321" t="s">
        <v>296</v>
      </c>
      <c r="H66" s="321" t="s">
        <v>295</v>
      </c>
      <c r="I66" s="312"/>
      <c r="J66" s="315"/>
    </row>
    <row r="67" spans="1:10" x14ac:dyDescent="0.25">
      <c r="A67" s="252" t="str">
        <f>IF(C67&lt;&gt;"",1+MAX($A$6:A66),"")</f>
        <v/>
      </c>
      <c r="B67" s="306"/>
      <c r="C67" s="310"/>
      <c r="D67" s="311"/>
      <c r="E67" s="312"/>
      <c r="F67" s="312"/>
      <c r="G67" s="316">
        <f>+SUM(G6:G65)</f>
        <v>0</v>
      </c>
      <c r="H67" s="316">
        <f>+SUM(H6:H65)</f>
        <v>0</v>
      </c>
      <c r="I67" s="312"/>
      <c r="J67" s="315"/>
    </row>
    <row r="68" spans="1:10" ht="16.5" thickBot="1" x14ac:dyDescent="0.3">
      <c r="A68" s="252" t="str">
        <f>IF(C68&lt;&gt;"",1+MAX($A$6:A67),"")</f>
        <v/>
      </c>
      <c r="B68" s="306"/>
      <c r="C68" s="310"/>
      <c r="D68" s="311"/>
      <c r="E68" s="312"/>
      <c r="F68" s="312"/>
      <c r="G68" s="312"/>
      <c r="H68" s="312"/>
      <c r="I68" s="312"/>
      <c r="J68" s="315"/>
    </row>
    <row r="69" spans="1:10" s="258" customFormat="1" ht="16.5" thickBot="1" x14ac:dyDescent="0.3">
      <c r="A69" s="326" t="s">
        <v>448</v>
      </c>
      <c r="B69" s="327"/>
      <c r="C69" s="328"/>
      <c r="D69" s="329"/>
      <c r="E69" s="330"/>
      <c r="F69" s="330"/>
      <c r="G69" s="322"/>
      <c r="H69" s="322"/>
      <c r="I69" s="323">
        <f>SUM(I5:I68)</f>
        <v>0</v>
      </c>
      <c r="J69" s="315"/>
    </row>
    <row r="70" spans="1:10" s="258" customFormat="1" ht="16.5" thickBot="1" x14ac:dyDescent="0.3">
      <c r="A70" s="336" t="s">
        <v>986</v>
      </c>
      <c r="B70" s="331"/>
      <c r="C70" s="332"/>
      <c r="D70" s="333"/>
      <c r="E70" s="334"/>
      <c r="F70" s="334"/>
      <c r="G70" s="335"/>
      <c r="H70" s="324">
        <v>6.25E-2</v>
      </c>
      <c r="I70" s="325">
        <f>H67*H70</f>
        <v>0</v>
      </c>
      <c r="J70" s="315"/>
    </row>
    <row r="71" spans="1:10" s="258" customFormat="1" ht="16.5" thickBot="1" x14ac:dyDescent="0.3">
      <c r="A71" s="326" t="s">
        <v>449</v>
      </c>
      <c r="B71" s="327"/>
      <c r="C71" s="328"/>
      <c r="D71" s="329"/>
      <c r="E71" s="330"/>
      <c r="F71" s="330"/>
      <c r="G71" s="322"/>
      <c r="H71" s="322"/>
      <c r="I71" s="323">
        <f>SUM(I69:I70)</f>
        <v>0</v>
      </c>
      <c r="J71" s="619"/>
    </row>
  </sheetData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287"/>
  <sheetViews>
    <sheetView showGridLines="0" view="pageBreakPreview" zoomScale="90" zoomScaleNormal="100" zoomScaleSheetLayoutView="90" workbookViewId="0">
      <pane ySplit="6" topLeftCell="A7" activePane="bottomLeft" state="frozen"/>
      <selection pane="bottomLeft" activeCell="A7" sqref="A7"/>
    </sheetView>
  </sheetViews>
  <sheetFormatPr defaultRowHeight="15.75" x14ac:dyDescent="0.25"/>
  <cols>
    <col min="1" max="1" width="5.33203125" style="418" customWidth="1"/>
    <col min="2" max="2" width="11.109375" style="405" customWidth="1"/>
    <col min="3" max="3" width="9.88671875" style="405" customWidth="1"/>
    <col min="4" max="4" width="8.6640625" style="615" customWidth="1"/>
    <col min="5" max="5" width="47.88671875" style="616" customWidth="1"/>
    <col min="6" max="6" width="10" style="617" customWidth="1"/>
    <col min="7" max="7" width="5.77734375" style="681" customWidth="1"/>
    <col min="8" max="8" width="9.21875" style="681" customWidth="1"/>
    <col min="9" max="9" width="6.5546875" style="405" customWidth="1"/>
    <col min="10" max="10" width="10" style="681" customWidth="1"/>
    <col min="11" max="11" width="11.6640625" style="681" customWidth="1"/>
    <col min="12" max="12" width="11.88671875" style="681" customWidth="1"/>
    <col min="13" max="13" width="9.88671875" style="640" bestFit="1" customWidth="1"/>
    <col min="14" max="16384" width="8.88671875" style="640"/>
  </cols>
  <sheetData>
    <row r="1" spans="1:12" ht="16.5" thickBot="1" x14ac:dyDescent="0.3">
      <c r="A1" s="634" t="s">
        <v>6</v>
      </c>
      <c r="B1" s="635"/>
      <c r="C1" s="474"/>
      <c r="D1" s="636"/>
      <c r="E1" s="637"/>
      <c r="F1" s="638"/>
      <c r="G1" s="638"/>
      <c r="H1" s="638"/>
      <c r="I1" s="329"/>
      <c r="J1" s="638"/>
      <c r="K1" s="638"/>
      <c r="L1" s="639"/>
    </row>
    <row r="2" spans="1:12" x14ac:dyDescent="0.25">
      <c r="A2" s="507" t="s">
        <v>7</v>
      </c>
      <c r="B2" s="295"/>
      <c r="C2" s="508"/>
      <c r="D2" s="509"/>
      <c r="E2" s="508"/>
      <c r="F2" s="509"/>
      <c r="G2" s="509"/>
      <c r="H2" s="509"/>
      <c r="I2" s="510"/>
      <c r="J2" s="509"/>
      <c r="K2" s="509"/>
      <c r="L2" s="511"/>
    </row>
    <row r="3" spans="1:12" x14ac:dyDescent="0.25">
      <c r="A3" s="512" t="s">
        <v>760</v>
      </c>
      <c r="B3" s="295"/>
      <c r="C3" s="513">
        <v>44677</v>
      </c>
      <c r="D3" s="514"/>
      <c r="E3" s="515"/>
      <c r="F3" s="509"/>
      <c r="G3" s="509"/>
      <c r="H3" s="509"/>
      <c r="I3" s="510"/>
      <c r="J3" s="509"/>
      <c r="K3" s="509"/>
      <c r="L3" s="511"/>
    </row>
    <row r="4" spans="1:12" x14ac:dyDescent="0.25">
      <c r="A4" s="512" t="s">
        <v>9</v>
      </c>
      <c r="B4" s="295"/>
      <c r="C4" s="513">
        <v>44764</v>
      </c>
      <c r="D4" s="514"/>
      <c r="E4" s="516"/>
      <c r="F4" s="509"/>
      <c r="G4" s="509"/>
      <c r="H4" s="509"/>
      <c r="I4" s="510"/>
      <c r="J4" s="509"/>
      <c r="K4" s="509"/>
      <c r="L4" s="511"/>
    </row>
    <row r="5" spans="1:12" ht="16.5" thickBot="1" x14ac:dyDescent="0.3">
      <c r="A5" s="479" t="s">
        <v>761</v>
      </c>
      <c r="B5" s="517"/>
      <c r="C5" s="475">
        <f>K$286</f>
        <v>0</v>
      </c>
      <c r="D5" s="641"/>
      <c r="E5" s="641"/>
      <c r="F5" s="509"/>
      <c r="G5" s="509"/>
      <c r="H5" s="509"/>
      <c r="I5" s="510"/>
      <c r="J5" s="509"/>
      <c r="K5" s="509"/>
      <c r="L5" s="511"/>
    </row>
    <row r="6" spans="1:12" ht="32.25" thickBot="1" x14ac:dyDescent="0.3">
      <c r="A6" s="480" t="s">
        <v>10</v>
      </c>
      <c r="B6" s="482" t="s">
        <v>762</v>
      </c>
      <c r="C6" s="482" t="s">
        <v>763</v>
      </c>
      <c r="D6" s="482" t="s">
        <v>764</v>
      </c>
      <c r="E6" s="642" t="s">
        <v>1</v>
      </c>
      <c r="F6" s="642" t="s">
        <v>765</v>
      </c>
      <c r="G6" s="642" t="s">
        <v>3</v>
      </c>
      <c r="H6" s="642" t="s">
        <v>4</v>
      </c>
      <c r="I6" s="482" t="s">
        <v>0</v>
      </c>
      <c r="J6" s="642" t="s">
        <v>68</v>
      </c>
      <c r="K6" s="642" t="s">
        <v>5</v>
      </c>
      <c r="L6" s="643" t="s">
        <v>766</v>
      </c>
    </row>
    <row r="7" spans="1:12" s="650" customFormat="1" ht="16.5" thickBot="1" x14ac:dyDescent="0.25">
      <c r="A7" s="518" t="str">
        <f>IF(F7&lt;&gt;"",1+MAX(#REF!),"")</f>
        <v/>
      </c>
      <c r="B7" s="644"/>
      <c r="C7" s="645"/>
      <c r="D7" s="645" t="s">
        <v>767</v>
      </c>
      <c r="E7" s="646" t="s">
        <v>768</v>
      </c>
      <c r="F7" s="519"/>
      <c r="G7" s="645"/>
      <c r="H7" s="645"/>
      <c r="I7" s="647"/>
      <c r="J7" s="648"/>
      <c r="K7" s="645"/>
      <c r="L7" s="649"/>
    </row>
    <row r="8" spans="1:12" s="650" customFormat="1" ht="16.5" customHeight="1" thickBot="1" x14ac:dyDescent="0.25">
      <c r="A8" s="518" t="str">
        <f>IF(F8&lt;&gt;"",1+MAX($A$6:A7),"")</f>
        <v/>
      </c>
      <c r="B8" s="266"/>
      <c r="C8" s="520"/>
      <c r="D8" s="497"/>
      <c r="E8" s="521" t="s">
        <v>769</v>
      </c>
      <c r="F8" s="522"/>
      <c r="G8" s="523"/>
      <c r="H8" s="524"/>
      <c r="I8" s="221"/>
      <c r="J8" s="525"/>
      <c r="K8" s="526"/>
      <c r="L8" s="527"/>
    </row>
    <row r="9" spans="1:12" x14ac:dyDescent="0.25">
      <c r="A9" s="518" t="str">
        <f>IF(F9&lt;&gt;"",1+MAX($A$6:A8),"")</f>
        <v/>
      </c>
      <c r="B9" s="528"/>
      <c r="C9" s="529"/>
      <c r="D9" s="530"/>
      <c r="E9" s="531" t="s">
        <v>770</v>
      </c>
      <c r="F9" s="532"/>
      <c r="G9" s="651"/>
      <c r="H9" s="651"/>
      <c r="I9" s="76"/>
      <c r="J9" s="651"/>
      <c r="K9" s="652"/>
      <c r="L9" s="653"/>
    </row>
    <row r="10" spans="1:12" x14ac:dyDescent="0.25">
      <c r="A10" s="518">
        <f>IF(F10&lt;&gt;"",1+MAX($A$7:A9),"")</f>
        <v>1</v>
      </c>
      <c r="B10" s="528" t="s">
        <v>771</v>
      </c>
      <c r="C10" s="529"/>
      <c r="D10" s="374"/>
      <c r="E10" s="533" t="s">
        <v>772</v>
      </c>
      <c r="F10" s="534">
        <v>126</v>
      </c>
      <c r="G10" s="654">
        <v>0</v>
      </c>
      <c r="H10" s="655">
        <f>F10*(1+G10)</f>
        <v>126</v>
      </c>
      <c r="I10" s="83" t="s">
        <v>18</v>
      </c>
      <c r="J10" s="656">
        <v>0</v>
      </c>
      <c r="K10" s="709">
        <f>H10*J10</f>
        <v>0</v>
      </c>
      <c r="L10" s="653"/>
    </row>
    <row r="11" spans="1:12" x14ac:dyDescent="0.25">
      <c r="A11" s="518">
        <f>IF(F11&lt;&gt;"",1+MAX($A$7:A10),"")</f>
        <v>2</v>
      </c>
      <c r="B11" s="528" t="s">
        <v>771</v>
      </c>
      <c r="C11" s="529"/>
      <c r="D11" s="374"/>
      <c r="E11" s="533" t="s">
        <v>1054</v>
      </c>
      <c r="F11" s="534">
        <v>38</v>
      </c>
      <c r="G11" s="654">
        <v>0</v>
      </c>
      <c r="H11" s="655">
        <f>F11*(1+G11)</f>
        <v>38</v>
      </c>
      <c r="I11" s="83" t="s">
        <v>18</v>
      </c>
      <c r="J11" s="656">
        <v>0</v>
      </c>
      <c r="K11" s="709">
        <f>H11*J11</f>
        <v>0</v>
      </c>
      <c r="L11" s="653"/>
    </row>
    <row r="12" spans="1:12" x14ac:dyDescent="0.25">
      <c r="A12" s="518">
        <f>IF(F12&lt;&gt;"",1+MAX($A$7:A11),"")</f>
        <v>3</v>
      </c>
      <c r="B12" s="528" t="s">
        <v>771</v>
      </c>
      <c r="C12" s="529"/>
      <c r="D12" s="374"/>
      <c r="E12" s="533" t="s">
        <v>773</v>
      </c>
      <c r="F12" s="534">
        <v>6</v>
      </c>
      <c r="G12" s="654">
        <v>0</v>
      </c>
      <c r="H12" s="655">
        <f>F12*(1+G12)</f>
        <v>6</v>
      </c>
      <c r="I12" s="83" t="s">
        <v>18</v>
      </c>
      <c r="J12" s="658">
        <f>J$10</f>
        <v>0</v>
      </c>
      <c r="K12" s="709">
        <f>H12*J12</f>
        <v>0</v>
      </c>
      <c r="L12" s="653"/>
    </row>
    <row r="13" spans="1:12" s="662" customFormat="1" x14ac:dyDescent="0.25">
      <c r="A13" s="518" t="str">
        <f>IF(F13&lt;&gt;"",1+MAX($A$7:A12),"")</f>
        <v/>
      </c>
      <c r="B13" s="366"/>
      <c r="C13" s="529"/>
      <c r="D13" s="530"/>
      <c r="E13" s="533"/>
      <c r="F13" s="535"/>
      <c r="G13" s="659"/>
      <c r="H13" s="660"/>
      <c r="I13" s="83"/>
      <c r="J13" s="658"/>
      <c r="K13" s="712"/>
      <c r="L13" s="653"/>
    </row>
    <row r="14" spans="1:12" x14ac:dyDescent="0.25">
      <c r="A14" s="518" t="str">
        <f>IF(F14&lt;&gt;"",1+MAX($A$7:A13),"")</f>
        <v/>
      </c>
      <c r="B14" s="528"/>
      <c r="C14" s="529"/>
      <c r="D14" s="530"/>
      <c r="E14" s="531" t="s">
        <v>774</v>
      </c>
      <c r="F14" s="532"/>
      <c r="G14" s="651"/>
      <c r="H14" s="651"/>
      <c r="I14" s="76"/>
      <c r="J14" s="651"/>
      <c r="K14" s="709"/>
      <c r="L14" s="653"/>
    </row>
    <row r="15" spans="1:12" x14ac:dyDescent="0.25">
      <c r="A15" s="518">
        <f>IF(F15&lt;&gt;"",1+MAX($A$7:A14),"")</f>
        <v>4</v>
      </c>
      <c r="B15" s="528" t="s">
        <v>775</v>
      </c>
      <c r="C15" s="529"/>
      <c r="D15" s="374"/>
      <c r="E15" s="533" t="s">
        <v>776</v>
      </c>
      <c r="F15" s="534">
        <v>2</v>
      </c>
      <c r="G15" s="654">
        <v>0</v>
      </c>
      <c r="H15" s="655">
        <f t="shared" ref="H15:H25" si="0">F15*(1+G15)</f>
        <v>2</v>
      </c>
      <c r="I15" s="83" t="s">
        <v>18</v>
      </c>
      <c r="J15" s="656">
        <v>0</v>
      </c>
      <c r="K15" s="709">
        <f t="shared" ref="K15:K25" si="1">H15*J15</f>
        <v>0</v>
      </c>
      <c r="L15" s="653"/>
    </row>
    <row r="16" spans="1:12" x14ac:dyDescent="0.25">
      <c r="A16" s="518">
        <f>IF(F16&lt;&gt;"",1+MAX($A$7:A15),"")</f>
        <v>5</v>
      </c>
      <c r="B16" s="528" t="s">
        <v>775</v>
      </c>
      <c r="C16" s="529"/>
      <c r="D16" s="374"/>
      <c r="E16" s="533" t="s">
        <v>777</v>
      </c>
      <c r="F16" s="534">
        <v>1</v>
      </c>
      <c r="G16" s="654">
        <v>0</v>
      </c>
      <c r="H16" s="655">
        <f t="shared" si="0"/>
        <v>1</v>
      </c>
      <c r="I16" s="83" t="s">
        <v>18</v>
      </c>
      <c r="J16" s="656">
        <v>0</v>
      </c>
      <c r="K16" s="709">
        <f t="shared" si="1"/>
        <v>0</v>
      </c>
      <c r="L16" s="653"/>
    </row>
    <row r="17" spans="1:12" x14ac:dyDescent="0.25">
      <c r="A17" s="518">
        <f>IF(F17&lt;&gt;"",1+MAX($A$7:A16),"")</f>
        <v>6</v>
      </c>
      <c r="B17" s="528" t="s">
        <v>775</v>
      </c>
      <c r="C17" s="529"/>
      <c r="D17" s="374"/>
      <c r="E17" s="533" t="s">
        <v>778</v>
      </c>
      <c r="F17" s="534">
        <v>2</v>
      </c>
      <c r="G17" s="654">
        <v>0</v>
      </c>
      <c r="H17" s="655">
        <f t="shared" si="0"/>
        <v>2</v>
      </c>
      <c r="I17" s="83" t="s">
        <v>18</v>
      </c>
      <c r="J17" s="656">
        <v>0</v>
      </c>
      <c r="K17" s="709">
        <f t="shared" si="1"/>
        <v>0</v>
      </c>
      <c r="L17" s="653"/>
    </row>
    <row r="18" spans="1:12" x14ac:dyDescent="0.25">
      <c r="A18" s="518">
        <f>IF(F18&lt;&gt;"",1+MAX($A$7:A17),"")</f>
        <v>7</v>
      </c>
      <c r="B18" s="528" t="s">
        <v>775</v>
      </c>
      <c r="C18" s="529"/>
      <c r="D18" s="374"/>
      <c r="E18" s="533" t="s">
        <v>779</v>
      </c>
      <c r="F18" s="534">
        <v>2</v>
      </c>
      <c r="G18" s="654">
        <v>0</v>
      </c>
      <c r="H18" s="655">
        <f t="shared" si="0"/>
        <v>2</v>
      </c>
      <c r="I18" s="83" t="s">
        <v>18</v>
      </c>
      <c r="J18" s="656">
        <v>0</v>
      </c>
      <c r="K18" s="709">
        <f t="shared" si="1"/>
        <v>0</v>
      </c>
      <c r="L18" s="653"/>
    </row>
    <row r="19" spans="1:12" x14ac:dyDescent="0.25">
      <c r="A19" s="518">
        <f>IF(F19&lt;&gt;"",1+MAX($A$7:A18),"")</f>
        <v>8</v>
      </c>
      <c r="B19" s="528" t="s">
        <v>775</v>
      </c>
      <c r="C19" s="529"/>
      <c r="D19" s="374"/>
      <c r="E19" s="533" t="s">
        <v>780</v>
      </c>
      <c r="F19" s="534">
        <v>1</v>
      </c>
      <c r="G19" s="654">
        <v>0</v>
      </c>
      <c r="H19" s="655">
        <f t="shared" si="0"/>
        <v>1</v>
      </c>
      <c r="I19" s="83" t="s">
        <v>18</v>
      </c>
      <c r="J19" s="656">
        <v>0</v>
      </c>
      <c r="K19" s="709">
        <f t="shared" si="1"/>
        <v>0</v>
      </c>
      <c r="L19" s="653"/>
    </row>
    <row r="20" spans="1:12" x14ac:dyDescent="0.25">
      <c r="A20" s="518">
        <f>IF(F20&lt;&gt;"",1+MAX($A$7:A19),"")</f>
        <v>9</v>
      </c>
      <c r="B20" s="528" t="s">
        <v>775</v>
      </c>
      <c r="C20" s="529"/>
      <c r="D20" s="374"/>
      <c r="E20" s="533" t="s">
        <v>781</v>
      </c>
      <c r="F20" s="534">
        <v>1</v>
      </c>
      <c r="G20" s="654">
        <v>0</v>
      </c>
      <c r="H20" s="655">
        <f t="shared" si="0"/>
        <v>1</v>
      </c>
      <c r="I20" s="83" t="s">
        <v>18</v>
      </c>
      <c r="J20" s="656">
        <v>0</v>
      </c>
      <c r="K20" s="709">
        <f t="shared" si="1"/>
        <v>0</v>
      </c>
      <c r="L20" s="653"/>
    </row>
    <row r="21" spans="1:12" x14ac:dyDescent="0.25">
      <c r="A21" s="518">
        <f>IF(F21&lt;&gt;"",1+MAX($A$7:A20),"")</f>
        <v>10</v>
      </c>
      <c r="B21" s="528" t="s">
        <v>775</v>
      </c>
      <c r="C21" s="529"/>
      <c r="D21" s="374"/>
      <c r="E21" s="533" t="s">
        <v>1055</v>
      </c>
      <c r="F21" s="534">
        <v>1</v>
      </c>
      <c r="G21" s="654">
        <v>0</v>
      </c>
      <c r="H21" s="655">
        <f t="shared" si="0"/>
        <v>1</v>
      </c>
      <c r="I21" s="83" t="s">
        <v>18</v>
      </c>
      <c r="J21" s="656">
        <v>0</v>
      </c>
      <c r="K21" s="709">
        <f t="shared" si="1"/>
        <v>0</v>
      </c>
      <c r="L21" s="653"/>
    </row>
    <row r="22" spans="1:12" x14ac:dyDescent="0.25">
      <c r="A22" s="518">
        <f>IF(F22&lt;&gt;"",1+MAX($A$7:A21),"")</f>
        <v>11</v>
      </c>
      <c r="B22" s="528" t="s">
        <v>775</v>
      </c>
      <c r="C22" s="529"/>
      <c r="D22" s="374"/>
      <c r="E22" s="533" t="s">
        <v>782</v>
      </c>
      <c r="F22" s="534">
        <v>5</v>
      </c>
      <c r="G22" s="654">
        <v>0</v>
      </c>
      <c r="H22" s="655">
        <f t="shared" si="0"/>
        <v>5</v>
      </c>
      <c r="I22" s="83" t="s">
        <v>18</v>
      </c>
      <c r="J22" s="656">
        <v>0</v>
      </c>
      <c r="K22" s="709">
        <f t="shared" si="1"/>
        <v>0</v>
      </c>
      <c r="L22" s="653"/>
    </row>
    <row r="23" spans="1:12" x14ac:dyDescent="0.25">
      <c r="A23" s="518">
        <f>IF(F23&lt;&gt;"",1+MAX($A$7:A22),"")</f>
        <v>12</v>
      </c>
      <c r="B23" s="528" t="s">
        <v>775</v>
      </c>
      <c r="C23" s="529"/>
      <c r="D23" s="374"/>
      <c r="E23" s="533" t="s">
        <v>783</v>
      </c>
      <c r="F23" s="534">
        <v>1</v>
      </c>
      <c r="G23" s="654">
        <v>0</v>
      </c>
      <c r="H23" s="655">
        <f t="shared" si="0"/>
        <v>1</v>
      </c>
      <c r="I23" s="83" t="s">
        <v>18</v>
      </c>
      <c r="J23" s="656">
        <v>0</v>
      </c>
      <c r="K23" s="709">
        <f t="shared" si="1"/>
        <v>0</v>
      </c>
      <c r="L23" s="653"/>
    </row>
    <row r="24" spans="1:12" x14ac:dyDescent="0.25">
      <c r="A24" s="518">
        <f>IF(F24&lt;&gt;"",1+MAX($A$7:A23),"")</f>
        <v>13</v>
      </c>
      <c r="B24" s="528" t="s">
        <v>775</v>
      </c>
      <c r="C24" s="529"/>
      <c r="D24" s="374"/>
      <c r="E24" s="533" t="s">
        <v>784</v>
      </c>
      <c r="F24" s="534">
        <v>1</v>
      </c>
      <c r="G24" s="654">
        <v>0</v>
      </c>
      <c r="H24" s="655">
        <f t="shared" si="0"/>
        <v>1</v>
      </c>
      <c r="I24" s="83" t="s">
        <v>18</v>
      </c>
      <c r="J24" s="656">
        <v>0</v>
      </c>
      <c r="K24" s="709">
        <f t="shared" si="1"/>
        <v>0</v>
      </c>
      <c r="L24" s="653"/>
    </row>
    <row r="25" spans="1:12" ht="47.25" x14ac:dyDescent="0.25">
      <c r="A25" s="518">
        <f>IF(F25&lt;&gt;"",1+MAX($A$7:A24),"")</f>
        <v>14</v>
      </c>
      <c r="B25" s="528" t="s">
        <v>775</v>
      </c>
      <c r="C25" s="529"/>
      <c r="D25" s="374"/>
      <c r="E25" s="533" t="s">
        <v>785</v>
      </c>
      <c r="F25" s="534">
        <v>1</v>
      </c>
      <c r="G25" s="654">
        <v>0</v>
      </c>
      <c r="H25" s="655">
        <f t="shared" si="0"/>
        <v>1</v>
      </c>
      <c r="I25" s="83" t="s">
        <v>18</v>
      </c>
      <c r="J25" s="656">
        <v>0</v>
      </c>
      <c r="K25" s="709">
        <f t="shared" si="1"/>
        <v>0</v>
      </c>
      <c r="L25" s="653"/>
    </row>
    <row r="26" spans="1:12" s="662" customFormat="1" x14ac:dyDescent="0.25">
      <c r="A26" s="518" t="str">
        <f>IF(F26&lt;&gt;"",1+MAX($A$7:A25),"")</f>
        <v/>
      </c>
      <c r="B26" s="366"/>
      <c r="C26" s="529"/>
      <c r="D26" s="530"/>
      <c r="E26" s="533"/>
      <c r="F26" s="535"/>
      <c r="G26" s="659"/>
      <c r="H26" s="660"/>
      <c r="I26" s="83"/>
      <c r="J26" s="658"/>
      <c r="K26" s="712"/>
      <c r="L26" s="653"/>
    </row>
    <row r="27" spans="1:12" x14ac:dyDescent="0.25">
      <c r="A27" s="518" t="str">
        <f>IF(F27&lt;&gt;"",1+MAX($A$7:A26),"")</f>
        <v/>
      </c>
      <c r="B27" s="528"/>
      <c r="C27" s="529"/>
      <c r="D27" s="530"/>
      <c r="E27" s="531" t="s">
        <v>786</v>
      </c>
      <c r="F27" s="532"/>
      <c r="G27" s="651"/>
      <c r="H27" s="651"/>
      <c r="I27" s="76"/>
      <c r="J27" s="651"/>
      <c r="K27" s="709"/>
      <c r="L27" s="653"/>
    </row>
    <row r="28" spans="1:12" x14ac:dyDescent="0.25">
      <c r="A28" s="518">
        <f>IF(F28&lt;&gt;"",1+MAX($A$7:A27),"")</f>
        <v>15</v>
      </c>
      <c r="B28" s="528" t="s">
        <v>775</v>
      </c>
      <c r="C28" s="529"/>
      <c r="D28" s="374"/>
      <c r="E28" s="533" t="s">
        <v>787</v>
      </c>
      <c r="F28" s="534">
        <v>1</v>
      </c>
      <c r="G28" s="654">
        <v>0</v>
      </c>
      <c r="H28" s="655">
        <f>F28*(1+G28)</f>
        <v>1</v>
      </c>
      <c r="I28" s="83" t="s">
        <v>18</v>
      </c>
      <c r="J28" s="656">
        <v>0</v>
      </c>
      <c r="K28" s="709">
        <f>H28*J28</f>
        <v>0</v>
      </c>
      <c r="L28" s="653"/>
    </row>
    <row r="29" spans="1:12" x14ac:dyDescent="0.25">
      <c r="A29" s="518">
        <f>IF(F29&lt;&gt;"",1+MAX($A$7:A28),"")</f>
        <v>16</v>
      </c>
      <c r="B29" s="528" t="s">
        <v>775</v>
      </c>
      <c r="C29" s="529"/>
      <c r="D29" s="374"/>
      <c r="E29" s="533" t="s">
        <v>788</v>
      </c>
      <c r="F29" s="534">
        <v>1</v>
      </c>
      <c r="G29" s="654">
        <v>0</v>
      </c>
      <c r="H29" s="655">
        <f>F29*(1+G29)</f>
        <v>1</v>
      </c>
      <c r="I29" s="83" t="s">
        <v>18</v>
      </c>
      <c r="J29" s="658">
        <f t="shared" ref="J29:J31" si="2">J$28</f>
        <v>0</v>
      </c>
      <c r="K29" s="709">
        <f>H29*J29</f>
        <v>0</v>
      </c>
      <c r="L29" s="653"/>
    </row>
    <row r="30" spans="1:12" x14ac:dyDescent="0.25">
      <c r="A30" s="518">
        <f>IF(F30&lt;&gt;"",1+MAX($A$7:A29),"")</f>
        <v>17</v>
      </c>
      <c r="B30" s="528" t="s">
        <v>775</v>
      </c>
      <c r="C30" s="529"/>
      <c r="D30" s="374"/>
      <c r="E30" s="533" t="s">
        <v>789</v>
      </c>
      <c r="F30" s="534">
        <v>1</v>
      </c>
      <c r="G30" s="654">
        <v>0</v>
      </c>
      <c r="H30" s="655">
        <f>F30*(1+G30)</f>
        <v>1</v>
      </c>
      <c r="I30" s="83" t="s">
        <v>18</v>
      </c>
      <c r="J30" s="658">
        <f t="shared" si="2"/>
        <v>0</v>
      </c>
      <c r="K30" s="709">
        <f>H30*J30</f>
        <v>0</v>
      </c>
      <c r="L30" s="653"/>
    </row>
    <row r="31" spans="1:12" x14ac:dyDescent="0.25">
      <c r="A31" s="518">
        <f>IF(F31&lt;&gt;"",1+MAX($A$7:A30),"")</f>
        <v>18</v>
      </c>
      <c r="B31" s="528" t="s">
        <v>775</v>
      </c>
      <c r="C31" s="529"/>
      <c r="D31" s="374"/>
      <c r="E31" s="533" t="s">
        <v>790</v>
      </c>
      <c r="F31" s="534">
        <v>1</v>
      </c>
      <c r="G31" s="654">
        <v>0</v>
      </c>
      <c r="H31" s="655">
        <f>F31*(1+G31)</f>
        <v>1</v>
      </c>
      <c r="I31" s="83" t="s">
        <v>18</v>
      </c>
      <c r="J31" s="658">
        <f t="shared" si="2"/>
        <v>0</v>
      </c>
      <c r="K31" s="709">
        <f>H31*J31</f>
        <v>0</v>
      </c>
      <c r="L31" s="653"/>
    </row>
    <row r="32" spans="1:12" ht="16.5" thickBot="1" x14ac:dyDescent="0.3">
      <c r="A32" s="518" t="str">
        <f>IF(F32&lt;&gt;"",1+MAX($A$7:A31),"")</f>
        <v/>
      </c>
      <c r="B32" s="83"/>
      <c r="C32" s="520"/>
      <c r="D32" s="379"/>
      <c r="E32" s="536"/>
      <c r="F32" s="537"/>
      <c r="G32" s="651"/>
      <c r="H32" s="651"/>
      <c r="I32" s="221"/>
      <c r="J32" s="651"/>
      <c r="K32" s="709"/>
      <c r="L32" s="653"/>
    </row>
    <row r="33" spans="1:14" s="650" customFormat="1" ht="16.5" customHeight="1" thickBot="1" x14ac:dyDescent="0.25">
      <c r="A33" s="518" t="str">
        <f>IF(F33&lt;&gt;"",1+MAX($A$7:A32),"")</f>
        <v/>
      </c>
      <c r="B33" s="266"/>
      <c r="C33" s="520"/>
      <c r="D33" s="497"/>
      <c r="E33" s="521" t="s">
        <v>791</v>
      </c>
      <c r="F33" s="522"/>
      <c r="G33" s="523"/>
      <c r="H33" s="524"/>
      <c r="I33" s="221"/>
      <c r="J33" s="525"/>
      <c r="K33" s="526"/>
      <c r="L33" s="527"/>
    </row>
    <row r="34" spans="1:14" ht="31.5" x14ac:dyDescent="0.25">
      <c r="A34" s="518">
        <f>IF(F34&lt;&gt;"",1+MAX($A$7:A33),"")</f>
        <v>19</v>
      </c>
      <c r="B34" s="528"/>
      <c r="C34" s="538"/>
      <c r="D34" s="539"/>
      <c r="E34" s="540" t="s">
        <v>792</v>
      </c>
      <c r="F34" s="541">
        <v>1</v>
      </c>
      <c r="G34" s="654">
        <v>0</v>
      </c>
      <c r="H34" s="655">
        <f t="shared" ref="H34:H35" si="3">F34*(1+G34)</f>
        <v>1</v>
      </c>
      <c r="I34" s="83" t="s">
        <v>48</v>
      </c>
      <c r="J34" s="656">
        <v>0</v>
      </c>
      <c r="K34" s="709">
        <f>H34*J34</f>
        <v>0</v>
      </c>
      <c r="L34" s="653"/>
    </row>
    <row r="35" spans="1:14" x14ac:dyDescent="0.25">
      <c r="A35" s="518">
        <f>IF(F35&lt;&gt;"",1+MAX($A$7:A34),"")</f>
        <v>20</v>
      </c>
      <c r="B35" s="528"/>
      <c r="C35" s="538"/>
      <c r="D35" s="539"/>
      <c r="E35" s="540" t="s">
        <v>793</v>
      </c>
      <c r="F35" s="541">
        <v>1</v>
      </c>
      <c r="G35" s="654">
        <v>0</v>
      </c>
      <c r="H35" s="655">
        <f t="shared" si="3"/>
        <v>1</v>
      </c>
      <c r="I35" s="83" t="s">
        <v>48</v>
      </c>
      <c r="J35" s="656">
        <v>0</v>
      </c>
      <c r="K35" s="709">
        <f>H35*J35</f>
        <v>0</v>
      </c>
      <c r="L35" s="653"/>
    </row>
    <row r="36" spans="1:14" ht="16.5" thickBot="1" x14ac:dyDescent="0.3">
      <c r="A36" s="518" t="str">
        <f>IF(F36&lt;&gt;"",1+MAX($A$7:A35),"")</f>
        <v/>
      </c>
      <c r="B36" s="83"/>
      <c r="C36" s="520"/>
      <c r="D36" s="379"/>
      <c r="E36" s="542"/>
      <c r="F36" s="543"/>
      <c r="G36" s="543"/>
      <c r="H36" s="543"/>
      <c r="I36" s="544"/>
      <c r="J36" s="543"/>
      <c r="K36" s="713"/>
      <c r="L36" s="653"/>
    </row>
    <row r="37" spans="1:14" ht="16.5" thickBot="1" x14ac:dyDescent="0.3">
      <c r="A37" s="518" t="str">
        <f>IF(F37&lt;&gt;"",1+MAX($A$7:A36),"")</f>
        <v/>
      </c>
      <c r="B37" s="83"/>
      <c r="C37" s="520"/>
      <c r="D37" s="379"/>
      <c r="E37" s="545" t="s">
        <v>794</v>
      </c>
      <c r="F37" s="537"/>
      <c r="G37" s="651"/>
      <c r="H37" s="651"/>
      <c r="I37" s="221"/>
      <c r="J37" s="663"/>
      <c r="K37" s="664"/>
      <c r="L37" s="665">
        <f>SUM(K8:K36)</f>
        <v>0</v>
      </c>
    </row>
    <row r="38" spans="1:14" ht="16.5" thickBot="1" x14ac:dyDescent="0.3">
      <c r="A38" s="518" t="str">
        <f>IF(F38&lt;&gt;"",1+MAX($A$7:A37),"")</f>
        <v/>
      </c>
      <c r="B38" s="546"/>
      <c r="C38" s="547"/>
      <c r="D38" s="548"/>
      <c r="E38" s="549"/>
      <c r="F38" s="550"/>
      <c r="G38" s="666"/>
      <c r="H38" s="666"/>
      <c r="I38" s="221"/>
      <c r="J38" s="666"/>
      <c r="K38" s="714"/>
      <c r="L38" s="653"/>
    </row>
    <row r="39" spans="1:14" s="650" customFormat="1" ht="16.5" thickBot="1" x14ac:dyDescent="0.25">
      <c r="A39" s="518" t="str">
        <f>IF(F39&lt;&gt;"",1+MAX($A$7:A38),"")</f>
        <v/>
      </c>
      <c r="B39" s="644"/>
      <c r="C39" s="645"/>
      <c r="D39" s="645" t="s">
        <v>795</v>
      </c>
      <c r="E39" s="646" t="s">
        <v>796</v>
      </c>
      <c r="F39" s="519"/>
      <c r="G39" s="645"/>
      <c r="H39" s="645"/>
      <c r="I39" s="668"/>
      <c r="J39" s="648"/>
      <c r="K39" s="715"/>
      <c r="L39" s="669"/>
    </row>
    <row r="40" spans="1:14" s="650" customFormat="1" ht="16.5" thickBot="1" x14ac:dyDescent="0.25">
      <c r="A40" s="518" t="str">
        <f>IF(F40&lt;&gt;"",1+MAX($A$7:A39),"")</f>
        <v/>
      </c>
      <c r="B40" s="551"/>
      <c r="C40" s="670"/>
      <c r="D40" s="671" t="s">
        <v>482</v>
      </c>
      <c r="E40" s="672" t="s">
        <v>797</v>
      </c>
      <c r="F40" s="673"/>
      <c r="G40" s="674"/>
      <c r="H40" s="675"/>
      <c r="I40" s="676"/>
      <c r="J40" s="552"/>
      <c r="K40" s="553"/>
      <c r="L40" s="527"/>
    </row>
    <row r="41" spans="1:14" ht="33" customHeight="1" thickBot="1" x14ac:dyDescent="0.3">
      <c r="A41" s="518" t="str">
        <f>IF(F41&lt;&gt;"",1+MAX($A$7:A40),"")</f>
        <v/>
      </c>
      <c r="B41" s="83"/>
      <c r="C41" s="520"/>
      <c r="D41" s="379"/>
      <c r="E41" s="554" t="s">
        <v>798</v>
      </c>
      <c r="F41" s="537"/>
      <c r="G41" s="651"/>
      <c r="H41" s="651"/>
      <c r="I41" s="221"/>
      <c r="J41" s="651"/>
      <c r="K41" s="709"/>
      <c r="L41" s="653"/>
    </row>
    <row r="42" spans="1:14" s="650" customFormat="1" ht="16.5" customHeight="1" thickBot="1" x14ac:dyDescent="0.25">
      <c r="A42" s="518" t="str">
        <f>IF(F42&lt;&gt;"",1+MAX($A$7:A41),"")</f>
        <v/>
      </c>
      <c r="B42" s="266"/>
      <c r="C42" s="520"/>
      <c r="D42" s="497"/>
      <c r="E42" s="521" t="s">
        <v>799</v>
      </c>
      <c r="F42" s="522"/>
      <c r="G42" s="523"/>
      <c r="H42" s="524"/>
      <c r="I42" s="221"/>
      <c r="J42" s="525"/>
      <c r="K42" s="526"/>
      <c r="L42" s="527"/>
    </row>
    <row r="43" spans="1:14" x14ac:dyDescent="0.25">
      <c r="A43" s="518" t="str">
        <f>IF(F43&lt;&gt;"",1+MAX($A$7:A42),"")</f>
        <v/>
      </c>
      <c r="B43" s="528"/>
      <c r="C43" s="529"/>
      <c r="D43" s="530"/>
      <c r="E43" s="531" t="s">
        <v>800</v>
      </c>
      <c r="F43" s="532"/>
      <c r="G43" s="651"/>
      <c r="H43" s="651"/>
      <c r="I43" s="76"/>
      <c r="J43" s="651"/>
      <c r="K43" s="709"/>
      <c r="L43" s="653"/>
    </row>
    <row r="44" spans="1:14" x14ac:dyDescent="0.25">
      <c r="A44" s="518">
        <f>IF(F44&lt;&gt;"",1+MAX($A$7:A43),"")</f>
        <v>21</v>
      </c>
      <c r="B44" s="528" t="s">
        <v>801</v>
      </c>
      <c r="C44" s="529"/>
      <c r="D44" s="374"/>
      <c r="E44" s="533" t="s">
        <v>802</v>
      </c>
      <c r="F44" s="534">
        <f>23.13</f>
        <v>23.13</v>
      </c>
      <c r="G44" s="654">
        <v>0.1</v>
      </c>
      <c r="H44" s="655">
        <f t="shared" ref="H44:H51" si="4">F44*(1+G44)</f>
        <v>25.443000000000001</v>
      </c>
      <c r="I44" s="83" t="s">
        <v>13</v>
      </c>
      <c r="J44" s="656">
        <v>0</v>
      </c>
      <c r="K44" s="709">
        <f t="shared" ref="K44:K49" si="5">H44*J44</f>
        <v>0</v>
      </c>
      <c r="L44" s="653"/>
      <c r="M44" s="717"/>
      <c r="N44" s="717"/>
    </row>
    <row r="45" spans="1:14" x14ac:dyDescent="0.25">
      <c r="A45" s="518">
        <f>IF(F45&lt;&gt;"",1+MAX($A$7:A44),"")</f>
        <v>22</v>
      </c>
      <c r="B45" s="528" t="s">
        <v>801</v>
      </c>
      <c r="C45" s="529"/>
      <c r="D45" s="374"/>
      <c r="E45" s="533" t="s">
        <v>803</v>
      </c>
      <c r="F45" s="534">
        <f>745.05</f>
        <v>745.05</v>
      </c>
      <c r="G45" s="654">
        <v>0.1</v>
      </c>
      <c r="H45" s="655">
        <f t="shared" si="4"/>
        <v>819.55500000000006</v>
      </c>
      <c r="I45" s="83" t="s">
        <v>13</v>
      </c>
      <c r="J45" s="656">
        <v>0</v>
      </c>
      <c r="K45" s="709">
        <f t="shared" si="5"/>
        <v>0</v>
      </c>
      <c r="L45" s="653"/>
      <c r="M45" s="717"/>
      <c r="N45" s="717"/>
    </row>
    <row r="46" spans="1:14" x14ac:dyDescent="0.25">
      <c r="A46" s="518">
        <f>IF(F46&lt;&gt;"",1+MAX($A$7:A45),"")</f>
        <v>23</v>
      </c>
      <c r="B46" s="528" t="s">
        <v>801</v>
      </c>
      <c r="C46" s="529"/>
      <c r="D46" s="374"/>
      <c r="E46" s="533" t="s">
        <v>804</v>
      </c>
      <c r="F46" s="534">
        <v>11.24</v>
      </c>
      <c r="G46" s="654">
        <v>0.1</v>
      </c>
      <c r="H46" s="655">
        <f t="shared" si="4"/>
        <v>12.364000000000001</v>
      </c>
      <c r="I46" s="83" t="s">
        <v>13</v>
      </c>
      <c r="J46" s="656">
        <v>0</v>
      </c>
      <c r="K46" s="709">
        <f t="shared" si="5"/>
        <v>0</v>
      </c>
      <c r="L46" s="653"/>
      <c r="M46" s="717"/>
      <c r="N46" s="717"/>
    </row>
    <row r="47" spans="1:14" x14ac:dyDescent="0.25">
      <c r="A47" s="518">
        <f>IF(F47&lt;&gt;"",1+MAX($A$7:A46),"")</f>
        <v>24</v>
      </c>
      <c r="B47" s="528" t="s">
        <v>801</v>
      </c>
      <c r="C47" s="529"/>
      <c r="D47" s="374"/>
      <c r="E47" s="533" t="s">
        <v>805</v>
      </c>
      <c r="F47" s="534">
        <v>16.920000000000002</v>
      </c>
      <c r="G47" s="654">
        <v>0.1</v>
      </c>
      <c r="H47" s="655">
        <f t="shared" si="4"/>
        <v>18.612000000000002</v>
      </c>
      <c r="I47" s="83" t="s">
        <v>13</v>
      </c>
      <c r="J47" s="656">
        <v>0</v>
      </c>
      <c r="K47" s="709">
        <f t="shared" si="5"/>
        <v>0</v>
      </c>
      <c r="L47" s="653"/>
      <c r="M47" s="717"/>
      <c r="N47" s="717"/>
    </row>
    <row r="48" spans="1:14" x14ac:dyDescent="0.25">
      <c r="A48" s="518">
        <f>IF(F48&lt;&gt;"",1+MAX($A$7:A47),"")</f>
        <v>25</v>
      </c>
      <c r="B48" s="528" t="s">
        <v>801</v>
      </c>
      <c r="C48" s="529"/>
      <c r="D48" s="374"/>
      <c r="E48" s="533" t="s">
        <v>806</v>
      </c>
      <c r="F48" s="534">
        <f>61.47</f>
        <v>61.47</v>
      </c>
      <c r="G48" s="654">
        <v>0.1</v>
      </c>
      <c r="H48" s="655">
        <f t="shared" si="4"/>
        <v>67.617000000000004</v>
      </c>
      <c r="I48" s="83" t="s">
        <v>13</v>
      </c>
      <c r="J48" s="656">
        <v>0</v>
      </c>
      <c r="K48" s="709">
        <f t="shared" si="5"/>
        <v>0</v>
      </c>
      <c r="L48" s="653"/>
      <c r="M48" s="717"/>
      <c r="N48" s="717"/>
    </row>
    <row r="49" spans="1:14" x14ac:dyDescent="0.25">
      <c r="A49" s="518">
        <f>IF(F49&lt;&gt;"",1+MAX($A$7:A48),"")</f>
        <v>26</v>
      </c>
      <c r="B49" s="528" t="s">
        <v>801</v>
      </c>
      <c r="C49" s="529"/>
      <c r="D49" s="374"/>
      <c r="E49" s="533" t="s">
        <v>807</v>
      </c>
      <c r="F49" s="534">
        <v>7.31</v>
      </c>
      <c r="G49" s="654">
        <v>0.1</v>
      </c>
      <c r="H49" s="655">
        <f t="shared" si="4"/>
        <v>8.0410000000000004</v>
      </c>
      <c r="I49" s="83" t="s">
        <v>13</v>
      </c>
      <c r="J49" s="656">
        <v>0</v>
      </c>
      <c r="K49" s="709">
        <f t="shared" si="5"/>
        <v>0</v>
      </c>
      <c r="L49" s="653"/>
      <c r="M49" s="717"/>
      <c r="N49" s="717"/>
    </row>
    <row r="50" spans="1:14" x14ac:dyDescent="0.25">
      <c r="A50" s="518" t="str">
        <f>IF(F50&lt;&gt;"",1+MAX($A$7:A49),"")</f>
        <v/>
      </c>
      <c r="B50" s="83"/>
      <c r="C50" s="520"/>
      <c r="D50" s="379"/>
      <c r="E50" s="536"/>
      <c r="F50" s="537"/>
      <c r="G50" s="651"/>
      <c r="H50" s="651"/>
      <c r="I50" s="221"/>
      <c r="J50" s="651"/>
      <c r="K50" s="709"/>
      <c r="L50" s="653"/>
    </row>
    <row r="51" spans="1:14" x14ac:dyDescent="0.25">
      <c r="A51" s="518">
        <f>IF(F51&lt;&gt;"",1+MAX($A$7:A50),"")</f>
        <v>27</v>
      </c>
      <c r="B51" s="528" t="s">
        <v>801</v>
      </c>
      <c r="C51" s="529"/>
      <c r="D51" s="374"/>
      <c r="E51" s="533" t="s">
        <v>808</v>
      </c>
      <c r="F51" s="534">
        <v>522.84</v>
      </c>
      <c r="G51" s="654">
        <v>0.1</v>
      </c>
      <c r="H51" s="655">
        <f t="shared" si="4"/>
        <v>575.12400000000014</v>
      </c>
      <c r="I51" s="83" t="s">
        <v>13</v>
      </c>
      <c r="J51" s="658">
        <f>J$44</f>
        <v>0</v>
      </c>
      <c r="K51" s="709">
        <f t="shared" ref="K51" si="6">H51*J51</f>
        <v>0</v>
      </c>
      <c r="L51" s="653"/>
    </row>
    <row r="52" spans="1:14" ht="16.5" thickBot="1" x14ac:dyDescent="0.3">
      <c r="A52" s="518" t="str">
        <f>IF(F52&lt;&gt;"",1+MAX($A$7:A51),"")</f>
        <v/>
      </c>
      <c r="B52" s="555"/>
      <c r="C52" s="556"/>
      <c r="D52" s="539"/>
      <c r="E52" s="540"/>
      <c r="F52" s="557"/>
      <c r="G52" s="651"/>
      <c r="H52" s="651"/>
      <c r="I52" s="558"/>
      <c r="J52" s="651"/>
      <c r="K52" s="709"/>
      <c r="L52" s="653"/>
    </row>
    <row r="53" spans="1:14" s="650" customFormat="1" ht="16.5" customHeight="1" thickBot="1" x14ac:dyDescent="0.25">
      <c r="A53" s="518" t="str">
        <f>IF(F53&lt;&gt;"",1+MAX($A$7:A52),"")</f>
        <v/>
      </c>
      <c r="B53" s="266"/>
      <c r="C53" s="520"/>
      <c r="D53" s="497"/>
      <c r="E53" s="521" t="s">
        <v>809</v>
      </c>
      <c r="F53" s="522"/>
      <c r="G53" s="523"/>
      <c r="H53" s="524"/>
      <c r="I53" s="221"/>
      <c r="J53" s="525"/>
      <c r="K53" s="526"/>
      <c r="L53" s="527"/>
    </row>
    <row r="54" spans="1:14" x14ac:dyDescent="0.25">
      <c r="A54" s="518">
        <f>IF(F54&lt;&gt;"",1+MAX($A$7:A53),"")</f>
        <v>28</v>
      </c>
      <c r="B54" s="528" t="s">
        <v>801</v>
      </c>
      <c r="C54" s="559"/>
      <c r="D54" s="539"/>
      <c r="E54" s="540" t="s">
        <v>810</v>
      </c>
      <c r="F54" s="541">
        <f>24*12</f>
        <v>288</v>
      </c>
      <c r="G54" s="654">
        <v>0.1</v>
      </c>
      <c r="H54" s="655">
        <f t="shared" ref="H54:H57" si="7">F54*(1+G54)</f>
        <v>316.8</v>
      </c>
      <c r="I54" s="83" t="s">
        <v>13</v>
      </c>
      <c r="J54" s="656">
        <v>0</v>
      </c>
      <c r="K54" s="709">
        <f t="shared" ref="K54:K57" si="8">H54*J54</f>
        <v>0</v>
      </c>
      <c r="L54" s="653"/>
      <c r="M54" s="717"/>
      <c r="N54" s="717"/>
    </row>
    <row r="55" spans="1:14" x14ac:dyDescent="0.25">
      <c r="A55" s="518">
        <f>IF(F55&lt;&gt;"",1+MAX($A$7:A54),"")</f>
        <v>29</v>
      </c>
      <c r="B55" s="528" t="s">
        <v>801</v>
      </c>
      <c r="C55" s="559"/>
      <c r="D55" s="539"/>
      <c r="E55" s="540" t="s">
        <v>802</v>
      </c>
      <c r="F55" s="541">
        <f>21*12</f>
        <v>252</v>
      </c>
      <c r="G55" s="654">
        <v>0.1</v>
      </c>
      <c r="H55" s="655">
        <f t="shared" si="7"/>
        <v>277.20000000000005</v>
      </c>
      <c r="I55" s="83" t="s">
        <v>13</v>
      </c>
      <c r="J55" s="658">
        <f>J$44</f>
        <v>0</v>
      </c>
      <c r="K55" s="709">
        <f t="shared" si="8"/>
        <v>0</v>
      </c>
      <c r="L55" s="653"/>
    </row>
    <row r="56" spans="1:14" x14ac:dyDescent="0.25">
      <c r="A56" s="518">
        <f>IF(F56&lt;&gt;"",1+MAX($A$7:A55),"")</f>
        <v>30</v>
      </c>
      <c r="B56" s="528" t="s">
        <v>801</v>
      </c>
      <c r="C56" s="559"/>
      <c r="D56" s="539"/>
      <c r="E56" s="540" t="s">
        <v>804</v>
      </c>
      <c r="F56" s="541">
        <f>1*12</f>
        <v>12</v>
      </c>
      <c r="G56" s="654">
        <v>0.1</v>
      </c>
      <c r="H56" s="655">
        <f t="shared" si="7"/>
        <v>13.200000000000001</v>
      </c>
      <c r="I56" s="83" t="s">
        <v>13</v>
      </c>
      <c r="J56" s="658">
        <f>J$46</f>
        <v>0</v>
      </c>
      <c r="K56" s="709">
        <f t="shared" si="8"/>
        <v>0</v>
      </c>
      <c r="L56" s="653"/>
    </row>
    <row r="57" spans="1:14" x14ac:dyDescent="0.25">
      <c r="A57" s="518">
        <f>IF(F57&lt;&gt;"",1+MAX($A$7:A56),"")</f>
        <v>31</v>
      </c>
      <c r="B57" s="528" t="s">
        <v>801</v>
      </c>
      <c r="C57" s="559"/>
      <c r="D57" s="539"/>
      <c r="E57" s="540" t="s">
        <v>806</v>
      </c>
      <c r="F57" s="541">
        <f>2*12</f>
        <v>24</v>
      </c>
      <c r="G57" s="654">
        <v>0.1</v>
      </c>
      <c r="H57" s="655">
        <f t="shared" si="7"/>
        <v>26.400000000000002</v>
      </c>
      <c r="I57" s="83" t="s">
        <v>13</v>
      </c>
      <c r="J57" s="658">
        <f>J$48</f>
        <v>0</v>
      </c>
      <c r="K57" s="709">
        <f t="shared" si="8"/>
        <v>0</v>
      </c>
      <c r="L57" s="653"/>
    </row>
    <row r="58" spans="1:14" x14ac:dyDescent="0.25">
      <c r="A58" s="518" t="str">
        <f>IF(F58&lt;&gt;"",1+MAX($A$7:A57),"")</f>
        <v/>
      </c>
      <c r="B58" s="555"/>
      <c r="C58" s="556"/>
      <c r="D58" s="539"/>
      <c r="E58" s="540"/>
      <c r="F58" s="557"/>
      <c r="G58" s="651"/>
      <c r="H58" s="651"/>
      <c r="I58" s="558"/>
      <c r="J58" s="651"/>
      <c r="K58" s="709"/>
      <c r="L58" s="653"/>
    </row>
    <row r="59" spans="1:14" x14ac:dyDescent="0.25">
      <c r="A59" s="518">
        <f>IF(F59&lt;&gt;"",1+MAX($A$7:A58),"")</f>
        <v>32</v>
      </c>
      <c r="B59" s="528" t="s">
        <v>801</v>
      </c>
      <c r="C59" s="559"/>
      <c r="D59" s="539"/>
      <c r="E59" s="540" t="s">
        <v>811</v>
      </c>
      <c r="F59" s="541">
        <f>8*12</f>
        <v>96</v>
      </c>
      <c r="G59" s="654">
        <v>0.1</v>
      </c>
      <c r="H59" s="655">
        <f t="shared" ref="H59:H60" si="9">F59*(1+G59)</f>
        <v>105.60000000000001</v>
      </c>
      <c r="I59" s="83" t="s">
        <v>13</v>
      </c>
      <c r="J59" s="658">
        <f>J$54</f>
        <v>0</v>
      </c>
      <c r="K59" s="709">
        <f t="shared" ref="K59:K60" si="10">H59*J59</f>
        <v>0</v>
      </c>
      <c r="L59" s="653"/>
    </row>
    <row r="60" spans="1:14" x14ac:dyDescent="0.25">
      <c r="A60" s="518">
        <f>IF(F60&lt;&gt;"",1+MAX($A$7:A59),"")</f>
        <v>33</v>
      </c>
      <c r="B60" s="528" t="s">
        <v>801</v>
      </c>
      <c r="C60" s="559"/>
      <c r="D60" s="539"/>
      <c r="E60" s="540" t="s">
        <v>808</v>
      </c>
      <c r="F60" s="541">
        <f>28*12</f>
        <v>336</v>
      </c>
      <c r="G60" s="654">
        <v>0.1</v>
      </c>
      <c r="H60" s="655">
        <f t="shared" si="9"/>
        <v>369.6</v>
      </c>
      <c r="I60" s="83" t="s">
        <v>13</v>
      </c>
      <c r="J60" s="658">
        <f>J$44</f>
        <v>0</v>
      </c>
      <c r="K60" s="709">
        <f t="shared" si="10"/>
        <v>0</v>
      </c>
      <c r="L60" s="653"/>
    </row>
    <row r="61" spans="1:14" ht="16.5" thickBot="1" x14ac:dyDescent="0.3">
      <c r="A61" s="518" t="str">
        <f>IF(F61&lt;&gt;"",1+MAX($A$7:A60),"")</f>
        <v/>
      </c>
      <c r="B61" s="555"/>
      <c r="C61" s="559"/>
      <c r="D61" s="539"/>
      <c r="E61" s="228"/>
      <c r="F61" s="541"/>
      <c r="G61" s="651"/>
      <c r="H61" s="651"/>
      <c r="I61" s="83"/>
      <c r="J61" s="651"/>
      <c r="K61" s="709"/>
      <c r="L61" s="653"/>
    </row>
    <row r="62" spans="1:14" s="650" customFormat="1" ht="16.5" customHeight="1" thickBot="1" x14ac:dyDescent="0.25">
      <c r="A62" s="518" t="str">
        <f>IF(F62&lt;&gt;"",1+MAX($A$7:A61),"")</f>
        <v/>
      </c>
      <c r="B62" s="266"/>
      <c r="C62" s="520"/>
      <c r="D62" s="497"/>
      <c r="E62" s="521" t="s">
        <v>812</v>
      </c>
      <c r="F62" s="522"/>
      <c r="G62" s="523"/>
      <c r="H62" s="524"/>
      <c r="I62" s="221"/>
      <c r="J62" s="525"/>
      <c r="K62" s="526"/>
      <c r="L62" s="527"/>
    </row>
    <row r="63" spans="1:14" x14ac:dyDescent="0.25">
      <c r="A63" s="518">
        <f>IF(F63&lt;&gt;"",1+MAX($A$7:A62),"")</f>
        <v>34</v>
      </c>
      <c r="B63" s="528" t="s">
        <v>801</v>
      </c>
      <c r="C63" s="559"/>
      <c r="D63" s="560"/>
      <c r="E63" s="392" t="s">
        <v>813</v>
      </c>
      <c r="F63" s="561">
        <v>1</v>
      </c>
      <c r="G63" s="654">
        <v>0</v>
      </c>
      <c r="H63" s="655">
        <f>F63*(1+G63)</f>
        <v>1</v>
      </c>
      <c r="I63" s="76" t="s">
        <v>677</v>
      </c>
      <c r="J63" s="656">
        <v>0</v>
      </c>
      <c r="K63" s="709">
        <f>H63*J63</f>
        <v>0</v>
      </c>
      <c r="L63" s="653"/>
    </row>
    <row r="64" spans="1:14" x14ac:dyDescent="0.25">
      <c r="A64" s="518">
        <f>IF(F64&lt;&gt;"",1+MAX($A$7:A63),"")</f>
        <v>35</v>
      </c>
      <c r="B64" s="528" t="s">
        <v>801</v>
      </c>
      <c r="C64" s="559"/>
      <c r="D64" s="560"/>
      <c r="E64" s="392" t="s">
        <v>814</v>
      </c>
      <c r="F64" s="562">
        <v>8</v>
      </c>
      <c r="G64" s="654">
        <v>0</v>
      </c>
      <c r="H64" s="655">
        <f t="shared" ref="H64:H68" si="11">F64*(1+G64)</f>
        <v>8</v>
      </c>
      <c r="I64" s="76" t="s">
        <v>677</v>
      </c>
      <c r="J64" s="656">
        <v>0</v>
      </c>
      <c r="K64" s="709">
        <f t="shared" ref="K64:K67" si="12">H64*J64</f>
        <v>0</v>
      </c>
      <c r="L64" s="653"/>
    </row>
    <row r="65" spans="1:14" x14ac:dyDescent="0.25">
      <c r="A65" s="518">
        <f>IF(F65&lt;&gt;"",1+MAX($A$7:A64),"")</f>
        <v>36</v>
      </c>
      <c r="B65" s="528" t="s">
        <v>801</v>
      </c>
      <c r="C65" s="559"/>
      <c r="D65" s="560"/>
      <c r="E65" s="392" t="s">
        <v>815</v>
      </c>
      <c r="F65" s="562">
        <v>18</v>
      </c>
      <c r="G65" s="654">
        <v>0</v>
      </c>
      <c r="H65" s="655">
        <f t="shared" si="11"/>
        <v>18</v>
      </c>
      <c r="I65" s="76" t="s">
        <v>677</v>
      </c>
      <c r="J65" s="656">
        <v>0</v>
      </c>
      <c r="K65" s="709">
        <f t="shared" si="12"/>
        <v>0</v>
      </c>
      <c r="L65" s="653"/>
    </row>
    <row r="66" spans="1:14" x14ac:dyDescent="0.25">
      <c r="A66" s="518">
        <f>IF(F66&lt;&gt;"",1+MAX($A$7:A65),"")</f>
        <v>37</v>
      </c>
      <c r="B66" s="528" t="s">
        <v>801</v>
      </c>
      <c r="C66" s="559"/>
      <c r="D66" s="441"/>
      <c r="E66" s="228" t="s">
        <v>816</v>
      </c>
      <c r="F66" s="534">
        <v>2</v>
      </c>
      <c r="G66" s="654">
        <v>0</v>
      </c>
      <c r="H66" s="655">
        <f t="shared" si="11"/>
        <v>2</v>
      </c>
      <c r="I66" s="274" t="s">
        <v>677</v>
      </c>
      <c r="J66" s="656">
        <v>0</v>
      </c>
      <c r="K66" s="709">
        <f t="shared" si="12"/>
        <v>0</v>
      </c>
      <c r="L66" s="653"/>
    </row>
    <row r="67" spans="1:14" ht="63" x14ac:dyDescent="0.25">
      <c r="A67" s="518">
        <f>IF(F67&lt;&gt;"",1+MAX($A$7:A66),"")</f>
        <v>38</v>
      </c>
      <c r="B67" s="528" t="s">
        <v>801</v>
      </c>
      <c r="C67" s="559" t="s">
        <v>817</v>
      </c>
      <c r="D67" s="560"/>
      <c r="E67" s="392" t="s">
        <v>818</v>
      </c>
      <c r="F67" s="534">
        <v>8</v>
      </c>
      <c r="G67" s="654">
        <v>0</v>
      </c>
      <c r="H67" s="655">
        <f t="shared" si="11"/>
        <v>8</v>
      </c>
      <c r="I67" s="76" t="s">
        <v>677</v>
      </c>
      <c r="J67" s="656">
        <v>0</v>
      </c>
      <c r="K67" s="709">
        <f t="shared" si="12"/>
        <v>0</v>
      </c>
      <c r="L67" s="653"/>
    </row>
    <row r="68" spans="1:14" x14ac:dyDescent="0.25">
      <c r="A68" s="518">
        <f>IF(F68&lt;&gt;"",1+MAX($A$7:A67),"")</f>
        <v>39</v>
      </c>
      <c r="B68" s="528" t="s">
        <v>801</v>
      </c>
      <c r="C68" s="559"/>
      <c r="D68" s="560"/>
      <c r="E68" s="392" t="s">
        <v>819</v>
      </c>
      <c r="F68" s="534">
        <v>1</v>
      </c>
      <c r="G68" s="654">
        <v>0</v>
      </c>
      <c r="H68" s="655">
        <f t="shared" si="11"/>
        <v>1</v>
      </c>
      <c r="I68" s="76" t="s">
        <v>677</v>
      </c>
      <c r="J68" s="656">
        <v>0</v>
      </c>
      <c r="K68" s="709">
        <f>H68*J68</f>
        <v>0</v>
      </c>
      <c r="L68" s="653"/>
    </row>
    <row r="69" spans="1:14" ht="16.5" thickBot="1" x14ac:dyDescent="0.3">
      <c r="A69" s="518" t="str">
        <f>IF(F69&lt;&gt;"",1+MAX($A$7:A68),"")</f>
        <v/>
      </c>
      <c r="B69" s="83"/>
      <c r="C69" s="520"/>
      <c r="D69" s="379"/>
      <c r="E69" s="536"/>
      <c r="F69" s="537"/>
      <c r="G69" s="651"/>
      <c r="H69" s="651"/>
      <c r="I69" s="221"/>
      <c r="J69" s="651"/>
      <c r="K69" s="709"/>
      <c r="L69" s="653"/>
    </row>
    <row r="70" spans="1:14" s="650" customFormat="1" ht="16.5" customHeight="1" thickBot="1" x14ac:dyDescent="0.25">
      <c r="A70" s="518" t="str">
        <f>IF(F70&lt;&gt;"",1+MAX($A$7:A69),"")</f>
        <v/>
      </c>
      <c r="B70" s="266"/>
      <c r="C70" s="520"/>
      <c r="D70" s="497"/>
      <c r="E70" s="521" t="s">
        <v>820</v>
      </c>
      <c r="F70" s="522"/>
      <c r="G70" s="523"/>
      <c r="H70" s="524"/>
      <c r="I70" s="221"/>
      <c r="J70" s="525"/>
      <c r="K70" s="526"/>
      <c r="L70" s="527"/>
    </row>
    <row r="71" spans="1:14" x14ac:dyDescent="0.25">
      <c r="A71" s="518">
        <f>IF(F71&lt;&gt;"",1+MAX($A$7:A70),"")</f>
        <v>40</v>
      </c>
      <c r="B71" s="528" t="s">
        <v>821</v>
      </c>
      <c r="C71" s="559" t="s">
        <v>822</v>
      </c>
      <c r="D71" s="560"/>
      <c r="E71" s="392" t="s">
        <v>823</v>
      </c>
      <c r="F71" s="534">
        <v>8</v>
      </c>
      <c r="G71" s="654">
        <v>0</v>
      </c>
      <c r="H71" s="655">
        <f t="shared" ref="H71:H77" si="13">F71*(1+G71)</f>
        <v>8</v>
      </c>
      <c r="I71" s="76" t="s">
        <v>677</v>
      </c>
      <c r="J71" s="656">
        <v>0</v>
      </c>
      <c r="K71" s="709">
        <f t="shared" ref="K71:K80" si="14">H71*J71</f>
        <v>0</v>
      </c>
      <c r="L71" s="653"/>
    </row>
    <row r="72" spans="1:14" x14ac:dyDescent="0.25">
      <c r="A72" s="518">
        <f>IF(F72&lt;&gt;"",1+MAX($A$7:A71),"")</f>
        <v>41</v>
      </c>
      <c r="B72" s="528" t="s">
        <v>821</v>
      </c>
      <c r="C72" s="559" t="s">
        <v>822</v>
      </c>
      <c r="D72" s="560"/>
      <c r="E72" s="392" t="s">
        <v>824</v>
      </c>
      <c r="F72" s="534">
        <v>8</v>
      </c>
      <c r="G72" s="654">
        <v>0</v>
      </c>
      <c r="H72" s="655">
        <f t="shared" si="13"/>
        <v>8</v>
      </c>
      <c r="I72" s="76" t="s">
        <v>677</v>
      </c>
      <c r="J72" s="656">
        <v>0</v>
      </c>
      <c r="K72" s="709">
        <f t="shared" si="14"/>
        <v>0</v>
      </c>
      <c r="L72" s="653"/>
    </row>
    <row r="73" spans="1:14" x14ac:dyDescent="0.25">
      <c r="A73" s="518">
        <f>IF(F73&lt;&gt;"",1+MAX($A$7:A72),"")</f>
        <v>42</v>
      </c>
      <c r="B73" s="528" t="s">
        <v>821</v>
      </c>
      <c r="C73" s="559" t="s">
        <v>822</v>
      </c>
      <c r="D73" s="560"/>
      <c r="E73" s="392" t="s">
        <v>825</v>
      </c>
      <c r="F73" s="534">
        <v>8</v>
      </c>
      <c r="G73" s="654">
        <v>0</v>
      </c>
      <c r="H73" s="655">
        <f t="shared" si="13"/>
        <v>8</v>
      </c>
      <c r="I73" s="76" t="s">
        <v>677</v>
      </c>
      <c r="J73" s="656">
        <v>0</v>
      </c>
      <c r="K73" s="709">
        <f t="shared" si="14"/>
        <v>0</v>
      </c>
      <c r="L73" s="653"/>
    </row>
    <row r="74" spans="1:14" x14ac:dyDescent="0.25">
      <c r="A74" s="518">
        <f>IF(F74&lt;&gt;"",1+MAX($A$7:A73),"")</f>
        <v>43</v>
      </c>
      <c r="B74" s="528" t="s">
        <v>821</v>
      </c>
      <c r="C74" s="559" t="s">
        <v>822</v>
      </c>
      <c r="D74" s="560"/>
      <c r="E74" s="392" t="s">
        <v>826</v>
      </c>
      <c r="F74" s="534">
        <v>8</v>
      </c>
      <c r="G74" s="654">
        <v>0</v>
      </c>
      <c r="H74" s="655">
        <f t="shared" si="13"/>
        <v>8</v>
      </c>
      <c r="I74" s="76" t="s">
        <v>677</v>
      </c>
      <c r="J74" s="656">
        <v>0</v>
      </c>
      <c r="K74" s="709">
        <f t="shared" si="14"/>
        <v>0</v>
      </c>
      <c r="L74" s="653"/>
    </row>
    <row r="75" spans="1:14" x14ac:dyDescent="0.25">
      <c r="A75" s="518">
        <f>IF(F75&lt;&gt;"",1+MAX($A$7:A74),"")</f>
        <v>44</v>
      </c>
      <c r="B75" s="528" t="s">
        <v>821</v>
      </c>
      <c r="C75" s="559" t="s">
        <v>822</v>
      </c>
      <c r="D75" s="560"/>
      <c r="E75" s="392" t="s">
        <v>827</v>
      </c>
      <c r="F75" s="534">
        <v>8</v>
      </c>
      <c r="G75" s="654">
        <v>0</v>
      </c>
      <c r="H75" s="655">
        <f t="shared" si="13"/>
        <v>8</v>
      </c>
      <c r="I75" s="76" t="s">
        <v>677</v>
      </c>
      <c r="J75" s="656">
        <v>0</v>
      </c>
      <c r="K75" s="709">
        <f t="shared" si="14"/>
        <v>0</v>
      </c>
      <c r="L75" s="653"/>
    </row>
    <row r="76" spans="1:14" ht="31.5" x14ac:dyDescent="0.25">
      <c r="A76" s="518">
        <f>IF(F76&lt;&gt;"",1+MAX($A$7:A75),"")</f>
        <v>45</v>
      </c>
      <c r="B76" s="528" t="s">
        <v>821</v>
      </c>
      <c r="C76" s="559" t="s">
        <v>822</v>
      </c>
      <c r="D76" s="560"/>
      <c r="E76" s="392" t="s">
        <v>828</v>
      </c>
      <c r="F76" s="534">
        <f>8</f>
        <v>8</v>
      </c>
      <c r="G76" s="654">
        <v>0</v>
      </c>
      <c r="H76" s="655">
        <f t="shared" si="13"/>
        <v>8</v>
      </c>
      <c r="I76" s="76" t="s">
        <v>677</v>
      </c>
      <c r="J76" s="656">
        <v>0</v>
      </c>
      <c r="K76" s="709">
        <f t="shared" si="14"/>
        <v>0</v>
      </c>
      <c r="L76" s="653"/>
    </row>
    <row r="77" spans="1:14" ht="31.5" x14ac:dyDescent="0.25">
      <c r="A77" s="518">
        <f>IF(F77&lt;&gt;"",1+MAX($A$7:A76),"")</f>
        <v>46</v>
      </c>
      <c r="B77" s="528" t="s">
        <v>821</v>
      </c>
      <c r="C77" s="559" t="s">
        <v>822</v>
      </c>
      <c r="D77" s="560"/>
      <c r="E77" s="392" t="s">
        <v>829</v>
      </c>
      <c r="F77" s="534">
        <v>8</v>
      </c>
      <c r="G77" s="654">
        <v>0</v>
      </c>
      <c r="H77" s="655">
        <f t="shared" si="13"/>
        <v>8</v>
      </c>
      <c r="I77" s="76" t="s">
        <v>677</v>
      </c>
      <c r="J77" s="656">
        <v>0</v>
      </c>
      <c r="K77" s="709">
        <f t="shared" si="14"/>
        <v>0</v>
      </c>
      <c r="L77" s="653"/>
    </row>
    <row r="78" spans="1:14" ht="16.5" thickBot="1" x14ac:dyDescent="0.3">
      <c r="A78" s="518" t="str">
        <f>IF(F78&lt;&gt;"",1+MAX($A$7:A77),"")</f>
        <v/>
      </c>
      <c r="B78" s="528"/>
      <c r="C78" s="520"/>
      <c r="D78" s="379"/>
      <c r="E78" s="536"/>
      <c r="F78" s="537"/>
      <c r="G78" s="651"/>
      <c r="H78" s="651"/>
      <c r="I78" s="221"/>
      <c r="J78" s="658"/>
      <c r="K78" s="712"/>
      <c r="L78" s="653"/>
    </row>
    <row r="79" spans="1:14" s="650" customFormat="1" ht="16.5" customHeight="1" thickBot="1" x14ac:dyDescent="0.25">
      <c r="A79" s="518" t="str">
        <f>IF(F79&lt;&gt;"",1+MAX($A$7:A78),"")</f>
        <v/>
      </c>
      <c r="B79" s="266"/>
      <c r="C79" s="520"/>
      <c r="D79" s="497"/>
      <c r="E79" s="521" t="s">
        <v>830</v>
      </c>
      <c r="F79" s="522"/>
      <c r="G79" s="523"/>
      <c r="H79" s="524"/>
      <c r="I79" s="221"/>
      <c r="J79" s="658"/>
      <c r="K79" s="712"/>
      <c r="L79" s="527"/>
    </row>
    <row r="80" spans="1:14" x14ac:dyDescent="0.25">
      <c r="A80" s="518">
        <f>IF(F80&lt;&gt;"",1+MAX($A$7:A79),"")</f>
        <v>47</v>
      </c>
      <c r="B80" s="528" t="s">
        <v>801</v>
      </c>
      <c r="C80" s="559"/>
      <c r="D80" s="560"/>
      <c r="E80" s="392" t="s">
        <v>831</v>
      </c>
      <c r="F80" s="563">
        <f>2396</f>
        <v>2396</v>
      </c>
      <c r="G80" s="654">
        <v>0.1</v>
      </c>
      <c r="H80" s="655">
        <f t="shared" ref="H80" si="15">F80*(1+G80)</f>
        <v>2635.6000000000004</v>
      </c>
      <c r="I80" s="83" t="s">
        <v>13</v>
      </c>
      <c r="J80" s="656">
        <v>0</v>
      </c>
      <c r="K80" s="709">
        <f t="shared" si="14"/>
        <v>0</v>
      </c>
      <c r="L80" s="653"/>
      <c r="M80" s="717"/>
      <c r="N80" s="717"/>
    </row>
    <row r="81" spans="1:14" ht="16.5" thickBot="1" x14ac:dyDescent="0.3">
      <c r="A81" s="518" t="str">
        <f>IF(F81&lt;&gt;"",1+MAX($A$7:A80),"")</f>
        <v/>
      </c>
      <c r="B81" s="528"/>
      <c r="C81" s="520"/>
      <c r="D81" s="379"/>
      <c r="E81" s="536"/>
      <c r="F81" s="537"/>
      <c r="G81" s="651"/>
      <c r="H81" s="651"/>
      <c r="I81" s="221"/>
      <c r="J81" s="651"/>
      <c r="K81" s="709"/>
      <c r="L81" s="653"/>
    </row>
    <row r="82" spans="1:14" s="650" customFormat="1" ht="16.5" customHeight="1" thickBot="1" x14ac:dyDescent="0.25">
      <c r="A82" s="518" t="str">
        <f>IF(F82&lt;&gt;"",1+MAX($A$7:A81),"")</f>
        <v/>
      </c>
      <c r="B82" s="266"/>
      <c r="C82" s="520"/>
      <c r="D82" s="497"/>
      <c r="E82" s="521" t="s">
        <v>791</v>
      </c>
      <c r="F82" s="522"/>
      <c r="G82" s="523"/>
      <c r="H82" s="524"/>
      <c r="I82" s="221"/>
      <c r="J82" s="525"/>
      <c r="K82" s="526"/>
      <c r="L82" s="527"/>
    </row>
    <row r="83" spans="1:14" x14ac:dyDescent="0.25">
      <c r="A83" s="518">
        <f>IF(F83&lt;&gt;"",1+MAX($A$7:A82),"")</f>
        <v>48</v>
      </c>
      <c r="B83" s="528" t="s">
        <v>801</v>
      </c>
      <c r="C83" s="559"/>
      <c r="D83" s="560"/>
      <c r="E83" s="392" t="s">
        <v>832</v>
      </c>
      <c r="F83" s="534">
        <v>1</v>
      </c>
      <c r="G83" s="654">
        <v>0</v>
      </c>
      <c r="H83" s="655">
        <f t="shared" ref="H83" si="16">F83*(1+G83)</f>
        <v>1</v>
      </c>
      <c r="I83" s="83" t="s">
        <v>48</v>
      </c>
      <c r="J83" s="656">
        <v>0</v>
      </c>
      <c r="K83" s="709">
        <f t="shared" ref="K83" si="17">H83*J83</f>
        <v>0</v>
      </c>
      <c r="L83" s="653"/>
    </row>
    <row r="84" spans="1:14" ht="16.5" thickBot="1" x14ac:dyDescent="0.3">
      <c r="A84" s="518" t="str">
        <f>IF(F84&lt;&gt;"",1+MAX($A$7:A83),"")</f>
        <v/>
      </c>
      <c r="B84" s="83"/>
      <c r="C84" s="520"/>
      <c r="D84" s="379"/>
      <c r="E84" s="536"/>
      <c r="F84" s="537"/>
      <c r="G84" s="651"/>
      <c r="H84" s="651"/>
      <c r="I84" s="221"/>
      <c r="J84" s="651"/>
      <c r="K84" s="709"/>
      <c r="L84" s="653"/>
    </row>
    <row r="85" spans="1:14" s="650" customFormat="1" ht="16.5" thickBot="1" x14ac:dyDescent="0.25">
      <c r="A85" s="518" t="str">
        <f>IF(F85&lt;&gt;"",1+MAX($A$7:A84),"")</f>
        <v/>
      </c>
      <c r="B85" s="551"/>
      <c r="C85" s="670"/>
      <c r="D85" s="671" t="s">
        <v>482</v>
      </c>
      <c r="E85" s="672" t="s">
        <v>833</v>
      </c>
      <c r="F85" s="673"/>
      <c r="G85" s="674"/>
      <c r="H85" s="675"/>
      <c r="I85" s="676"/>
      <c r="J85" s="525"/>
      <c r="K85" s="526"/>
      <c r="L85" s="527"/>
    </row>
    <row r="86" spans="1:14" ht="16.5" thickBot="1" x14ac:dyDescent="0.3">
      <c r="A86" s="518" t="str">
        <f>IF(F86&lt;&gt;"",1+MAX($A$7:A85),"")</f>
        <v/>
      </c>
      <c r="B86" s="83"/>
      <c r="C86" s="520"/>
      <c r="D86" s="379"/>
      <c r="E86" s="554" t="s">
        <v>834</v>
      </c>
      <c r="F86" s="537"/>
      <c r="G86" s="651"/>
      <c r="H86" s="651"/>
      <c r="I86" s="221"/>
      <c r="J86" s="651"/>
      <c r="K86" s="709"/>
      <c r="L86" s="653"/>
    </row>
    <row r="87" spans="1:14" s="650" customFormat="1" ht="16.5" customHeight="1" thickBot="1" x14ac:dyDescent="0.25">
      <c r="A87" s="518" t="str">
        <f>IF(F87&lt;&gt;"",1+MAX($A$7:A86),"")</f>
        <v/>
      </c>
      <c r="B87" s="266"/>
      <c r="C87" s="520"/>
      <c r="D87" s="497"/>
      <c r="E87" s="521" t="s">
        <v>799</v>
      </c>
      <c r="F87" s="522"/>
      <c r="G87" s="523"/>
      <c r="H87" s="524"/>
      <c r="I87" s="221"/>
      <c r="J87" s="525"/>
      <c r="K87" s="526"/>
      <c r="L87" s="527"/>
    </row>
    <row r="88" spans="1:14" ht="16.5" thickBot="1" x14ac:dyDescent="0.3">
      <c r="A88" s="518" t="str">
        <f>IF(F88&lt;&gt;"",1+MAX($A$7:A87),"")</f>
        <v/>
      </c>
      <c r="B88" s="528"/>
      <c r="C88" s="529"/>
      <c r="D88" s="530"/>
      <c r="E88" s="564" t="s">
        <v>835</v>
      </c>
      <c r="F88" s="532"/>
      <c r="G88" s="651"/>
      <c r="H88" s="651"/>
      <c r="I88" s="76"/>
      <c r="J88" s="651"/>
      <c r="K88" s="709"/>
      <c r="L88" s="653"/>
    </row>
    <row r="89" spans="1:14" x14ac:dyDescent="0.25">
      <c r="A89" s="518" t="str">
        <f>IF(F89&lt;&gt;"",1+MAX($A$7:A88),"")</f>
        <v/>
      </c>
      <c r="B89" s="528"/>
      <c r="C89" s="529"/>
      <c r="D89" s="530"/>
      <c r="E89" s="531" t="s">
        <v>836</v>
      </c>
      <c r="F89" s="532"/>
      <c r="G89" s="651"/>
      <c r="H89" s="651"/>
      <c r="I89" s="83"/>
      <c r="J89" s="651"/>
      <c r="K89" s="709"/>
      <c r="L89" s="653"/>
    </row>
    <row r="90" spans="1:14" x14ac:dyDescent="0.25">
      <c r="A90" s="518">
        <f>IF(F90&lt;&gt;"",1+MAX($A$7:A89),"")</f>
        <v>49</v>
      </c>
      <c r="B90" s="528" t="s">
        <v>801</v>
      </c>
      <c r="C90" s="529"/>
      <c r="D90" s="374"/>
      <c r="E90" s="533" t="s">
        <v>837</v>
      </c>
      <c r="F90" s="534">
        <v>102.82</v>
      </c>
      <c r="G90" s="654">
        <v>0.1</v>
      </c>
      <c r="H90" s="655">
        <f t="shared" ref="H90" si="18">F90*(1+G90)</f>
        <v>113.102</v>
      </c>
      <c r="I90" s="83" t="s">
        <v>13</v>
      </c>
      <c r="J90" s="656">
        <v>0</v>
      </c>
      <c r="K90" s="709">
        <f t="shared" ref="K90" si="19">H90*J90</f>
        <v>0</v>
      </c>
      <c r="L90" s="653"/>
      <c r="M90" s="717"/>
      <c r="N90" s="717"/>
    </row>
    <row r="91" spans="1:14" x14ac:dyDescent="0.25">
      <c r="A91" s="518" t="str">
        <f>IF(F91&lt;&gt;"",1+MAX($A$7:A90),"")</f>
        <v/>
      </c>
      <c r="B91" s="83"/>
      <c r="C91" s="529"/>
      <c r="D91" s="379"/>
      <c r="E91" s="545"/>
      <c r="F91" s="537"/>
      <c r="G91" s="651"/>
      <c r="H91" s="651"/>
      <c r="I91" s="221"/>
      <c r="J91" s="651"/>
      <c r="K91" s="709"/>
      <c r="L91" s="653"/>
    </row>
    <row r="92" spans="1:14" x14ac:dyDescent="0.25">
      <c r="A92" s="518" t="str">
        <f>IF(F92&lt;&gt;"",1+MAX($A$7:A91),"")</f>
        <v/>
      </c>
      <c r="B92" s="528"/>
      <c r="C92" s="529"/>
      <c r="D92" s="530"/>
      <c r="E92" s="531" t="s">
        <v>800</v>
      </c>
      <c r="F92" s="532"/>
      <c r="G92" s="651"/>
      <c r="H92" s="651"/>
      <c r="I92" s="83"/>
      <c r="J92" s="651"/>
      <c r="K92" s="709"/>
      <c r="L92" s="653"/>
    </row>
    <row r="93" spans="1:14" x14ac:dyDescent="0.25">
      <c r="A93" s="518">
        <f>IF(F93&lt;&gt;"",1+MAX($A$7:A92),"")</f>
        <v>50</v>
      </c>
      <c r="B93" s="528" t="s">
        <v>801</v>
      </c>
      <c r="C93" s="529"/>
      <c r="D93" s="374"/>
      <c r="E93" s="533" t="s">
        <v>838</v>
      </c>
      <c r="F93" s="534">
        <v>46.94</v>
      </c>
      <c r="G93" s="654">
        <v>0.1</v>
      </c>
      <c r="H93" s="655">
        <f t="shared" ref="H93:H94" si="20">F93*(1+G93)</f>
        <v>51.634</v>
      </c>
      <c r="I93" s="83" t="s">
        <v>13</v>
      </c>
      <c r="J93" s="656">
        <v>0</v>
      </c>
      <c r="K93" s="709">
        <f t="shared" ref="K93:K94" si="21">H93*J93</f>
        <v>0</v>
      </c>
      <c r="L93" s="653"/>
      <c r="M93" s="717"/>
      <c r="N93" s="717"/>
    </row>
    <row r="94" spans="1:14" x14ac:dyDescent="0.25">
      <c r="A94" s="518">
        <f>IF(F94&lt;&gt;"",1+MAX($A$7:A93),"")</f>
        <v>51</v>
      </c>
      <c r="B94" s="528" t="s">
        <v>801</v>
      </c>
      <c r="C94" s="529"/>
      <c r="D94" s="374"/>
      <c r="E94" s="533" t="s">
        <v>839</v>
      </c>
      <c r="F94" s="534">
        <v>450.2</v>
      </c>
      <c r="G94" s="654">
        <v>0.1</v>
      </c>
      <c r="H94" s="655">
        <f t="shared" si="20"/>
        <v>495.22</v>
      </c>
      <c r="I94" s="83" t="s">
        <v>13</v>
      </c>
      <c r="J94" s="658">
        <f>J$90</f>
        <v>0</v>
      </c>
      <c r="K94" s="709">
        <f t="shared" si="21"/>
        <v>0</v>
      </c>
      <c r="L94" s="653"/>
    </row>
    <row r="95" spans="1:14" x14ac:dyDescent="0.25">
      <c r="A95" s="518" t="str">
        <f>IF(F95&lt;&gt;"",1+MAX($A$7:A94),"")</f>
        <v/>
      </c>
      <c r="B95" s="83"/>
      <c r="C95" s="529"/>
      <c r="D95" s="379"/>
      <c r="E95" s="545"/>
      <c r="F95" s="537"/>
      <c r="G95" s="651"/>
      <c r="H95" s="651"/>
      <c r="I95" s="221"/>
      <c r="J95" s="651"/>
      <c r="K95" s="709"/>
      <c r="L95" s="653"/>
    </row>
    <row r="96" spans="1:14" x14ac:dyDescent="0.25">
      <c r="A96" s="518">
        <f>IF(F96&lt;&gt;"",1+MAX($A$7:A95),"")</f>
        <v>52</v>
      </c>
      <c r="B96" s="528" t="s">
        <v>801</v>
      </c>
      <c r="C96" s="529"/>
      <c r="D96" s="374"/>
      <c r="E96" s="533" t="s">
        <v>840</v>
      </c>
      <c r="F96" s="534">
        <v>497</v>
      </c>
      <c r="G96" s="654">
        <v>0.1</v>
      </c>
      <c r="H96" s="655">
        <f t="shared" ref="H96" si="22">F96*(1+G96)</f>
        <v>546.70000000000005</v>
      </c>
      <c r="I96" s="83" t="s">
        <v>13</v>
      </c>
      <c r="J96" s="658">
        <f>J$93</f>
        <v>0</v>
      </c>
      <c r="K96" s="709">
        <f t="shared" ref="K96" si="23">H96*J96</f>
        <v>0</v>
      </c>
      <c r="L96" s="653"/>
    </row>
    <row r="97" spans="1:14" x14ac:dyDescent="0.25">
      <c r="A97" s="518" t="str">
        <f>IF(F97&lt;&gt;"",1+MAX($A$7:A96),"")</f>
        <v/>
      </c>
      <c r="B97" s="83"/>
      <c r="C97" s="529"/>
      <c r="D97" s="379"/>
      <c r="E97" s="545"/>
      <c r="F97" s="537"/>
      <c r="G97" s="651"/>
      <c r="H97" s="651"/>
      <c r="I97" s="221"/>
      <c r="J97" s="651"/>
      <c r="K97" s="709"/>
      <c r="L97" s="653"/>
    </row>
    <row r="98" spans="1:14" x14ac:dyDescent="0.25">
      <c r="A98" s="518">
        <f>IF(F98&lt;&gt;"",1+MAX($A$7:A97),"")</f>
        <v>53</v>
      </c>
      <c r="B98" s="528" t="s">
        <v>801</v>
      </c>
      <c r="C98" s="559" t="s">
        <v>822</v>
      </c>
      <c r="D98" s="560"/>
      <c r="E98" s="392" t="s">
        <v>841</v>
      </c>
      <c r="F98" s="534">
        <f>8*5</f>
        <v>40</v>
      </c>
      <c r="G98" s="654">
        <v>0.1</v>
      </c>
      <c r="H98" s="655">
        <f t="shared" ref="H98" si="24">F98*(1+G98)</f>
        <v>44</v>
      </c>
      <c r="I98" s="76" t="s">
        <v>13</v>
      </c>
      <c r="J98" s="658">
        <f>J$93</f>
        <v>0</v>
      </c>
      <c r="K98" s="709">
        <f>H98*J98</f>
        <v>0</v>
      </c>
      <c r="L98" s="653"/>
    </row>
    <row r="99" spans="1:14" ht="16.5" thickBot="1" x14ac:dyDescent="0.3">
      <c r="A99" s="518" t="str">
        <f>IF(F99&lt;&gt;"",1+MAX($A$7:A98),"")</f>
        <v/>
      </c>
      <c r="B99" s="555"/>
      <c r="C99" s="556"/>
      <c r="D99" s="539"/>
      <c r="E99" s="228"/>
      <c r="F99" s="557"/>
      <c r="G99" s="651"/>
      <c r="H99" s="651"/>
      <c r="I99" s="558"/>
      <c r="J99" s="651"/>
      <c r="K99" s="709"/>
      <c r="L99" s="653"/>
    </row>
    <row r="100" spans="1:14" s="650" customFormat="1" ht="16.5" customHeight="1" thickBot="1" x14ac:dyDescent="0.25">
      <c r="A100" s="518" t="str">
        <f>IF(F100&lt;&gt;"",1+MAX($A$7:A99),"")</f>
        <v/>
      </c>
      <c r="B100" s="266"/>
      <c r="C100" s="520"/>
      <c r="D100" s="497"/>
      <c r="E100" s="521" t="s">
        <v>809</v>
      </c>
      <c r="F100" s="522"/>
      <c r="G100" s="523"/>
      <c r="H100" s="524"/>
      <c r="I100" s="221"/>
      <c r="J100" s="525"/>
      <c r="K100" s="526"/>
      <c r="L100" s="527"/>
    </row>
    <row r="101" spans="1:14" x14ac:dyDescent="0.25">
      <c r="A101" s="518">
        <f>IF(F101&lt;&gt;"",1+MAX($A$7:A100),"")</f>
        <v>54</v>
      </c>
      <c r="B101" s="528" t="s">
        <v>801</v>
      </c>
      <c r="C101" s="559"/>
      <c r="D101" s="565"/>
      <c r="E101" s="392" t="s">
        <v>837</v>
      </c>
      <c r="F101" s="534">
        <f>7*4</f>
        <v>28</v>
      </c>
      <c r="G101" s="654">
        <v>0.1</v>
      </c>
      <c r="H101" s="655">
        <f t="shared" ref="H101" si="25">F101*(1+G101)</f>
        <v>30.800000000000004</v>
      </c>
      <c r="I101" s="83" t="s">
        <v>13</v>
      </c>
      <c r="J101" s="658">
        <f>J$90</f>
        <v>0</v>
      </c>
      <c r="K101" s="709">
        <f t="shared" ref="K101" si="26">H101*J101</f>
        <v>0</v>
      </c>
      <c r="L101" s="653"/>
    </row>
    <row r="102" spans="1:14" x14ac:dyDescent="0.25">
      <c r="A102" s="518" t="str">
        <f>IF(F102&lt;&gt;"",1+MAX($A$7:A101),"")</f>
        <v/>
      </c>
      <c r="B102" s="555"/>
      <c r="C102" s="566"/>
      <c r="D102" s="565"/>
      <c r="E102" s="392"/>
      <c r="F102" s="534"/>
      <c r="G102" s="651"/>
      <c r="H102" s="651"/>
      <c r="I102" s="83"/>
      <c r="J102" s="651"/>
      <c r="K102" s="709"/>
      <c r="L102" s="653"/>
    </row>
    <row r="103" spans="1:14" x14ac:dyDescent="0.25">
      <c r="A103" s="518">
        <f>IF(F103&lt;&gt;"",1+MAX($A$7:A102),"")</f>
        <v>55</v>
      </c>
      <c r="B103" s="528" t="s">
        <v>801</v>
      </c>
      <c r="C103" s="559"/>
      <c r="D103" s="565"/>
      <c r="E103" s="392" t="s">
        <v>842</v>
      </c>
      <c r="F103" s="534">
        <f>(18*12)+(13*2)+(20*5)</f>
        <v>342</v>
      </c>
      <c r="G103" s="654">
        <v>0.1</v>
      </c>
      <c r="H103" s="655">
        <f t="shared" ref="H103" si="27">F103*(1+G103)</f>
        <v>376.20000000000005</v>
      </c>
      <c r="I103" s="83" t="s">
        <v>13</v>
      </c>
      <c r="J103" s="658">
        <f>J$90</f>
        <v>0</v>
      </c>
      <c r="K103" s="709">
        <f t="shared" ref="K103" si="28">H103*J103</f>
        <v>0</v>
      </c>
      <c r="L103" s="653"/>
    </row>
    <row r="104" spans="1:14" x14ac:dyDescent="0.25">
      <c r="A104" s="518" t="str">
        <f>IF(F104&lt;&gt;"",1+MAX($A$7:A103),"")</f>
        <v/>
      </c>
      <c r="B104" s="555"/>
      <c r="C104" s="566"/>
      <c r="D104" s="565"/>
      <c r="E104" s="392"/>
      <c r="F104" s="534"/>
      <c r="G104" s="651"/>
      <c r="H104" s="651"/>
      <c r="I104" s="83"/>
      <c r="J104" s="651"/>
      <c r="K104" s="709"/>
      <c r="L104" s="653"/>
    </row>
    <row r="105" spans="1:14" x14ac:dyDescent="0.25">
      <c r="A105" s="518">
        <f>IF(F105&lt;&gt;"",1+MAX($A$7:A104),"")</f>
        <v>56</v>
      </c>
      <c r="B105" s="528" t="s">
        <v>801</v>
      </c>
      <c r="C105" s="559"/>
      <c r="D105" s="565"/>
      <c r="E105" s="392" t="s">
        <v>843</v>
      </c>
      <c r="F105" s="534">
        <f>(102*12)+(13*2)</f>
        <v>1250</v>
      </c>
      <c r="G105" s="654">
        <v>0.1</v>
      </c>
      <c r="H105" s="655">
        <f t="shared" ref="H105" si="29">F105*(1+G105)</f>
        <v>1375</v>
      </c>
      <c r="I105" s="83" t="s">
        <v>13</v>
      </c>
      <c r="J105" s="656">
        <v>0</v>
      </c>
      <c r="K105" s="709">
        <f t="shared" ref="K105" si="30">H105*J105</f>
        <v>0</v>
      </c>
      <c r="L105" s="653"/>
      <c r="M105" s="717"/>
      <c r="N105" s="717"/>
    </row>
    <row r="106" spans="1:14" ht="16.5" thickBot="1" x14ac:dyDescent="0.3">
      <c r="A106" s="518" t="str">
        <f>IF(F106&lt;&gt;"",1+MAX($A$7:A105),"")</f>
        <v/>
      </c>
      <c r="B106" s="555"/>
      <c r="C106" s="556"/>
      <c r="D106" s="539"/>
      <c r="E106" s="228"/>
      <c r="F106" s="557"/>
      <c r="G106" s="651"/>
      <c r="H106" s="651"/>
      <c r="I106" s="558"/>
      <c r="J106" s="651"/>
      <c r="K106" s="709"/>
      <c r="L106" s="653"/>
    </row>
    <row r="107" spans="1:14" s="650" customFormat="1" ht="16.5" customHeight="1" thickBot="1" x14ac:dyDescent="0.25">
      <c r="A107" s="518" t="str">
        <f>IF(F107&lt;&gt;"",1+MAX($A$7:A106),"")</f>
        <v/>
      </c>
      <c r="B107" s="266"/>
      <c r="C107" s="520"/>
      <c r="D107" s="497"/>
      <c r="E107" s="521" t="s">
        <v>844</v>
      </c>
      <c r="F107" s="522"/>
      <c r="G107" s="523"/>
      <c r="H107" s="524"/>
      <c r="I107" s="221"/>
      <c r="J107" s="525"/>
      <c r="K107" s="526"/>
      <c r="L107" s="527"/>
    </row>
    <row r="108" spans="1:14" x14ac:dyDescent="0.25">
      <c r="A108" s="518">
        <f>IF(F108&lt;&gt;"",1+MAX($A$7:A107),"")</f>
        <v>57</v>
      </c>
      <c r="B108" s="528" t="s">
        <v>801</v>
      </c>
      <c r="C108" s="559"/>
      <c r="D108" s="560"/>
      <c r="E108" s="392" t="s">
        <v>845</v>
      </c>
      <c r="F108" s="561">
        <v>40</v>
      </c>
      <c r="G108" s="654">
        <v>0</v>
      </c>
      <c r="H108" s="655">
        <f t="shared" ref="H108:H121" si="31">F108*(1+G108)</f>
        <v>40</v>
      </c>
      <c r="I108" s="274" t="s">
        <v>677</v>
      </c>
      <c r="J108" s="656">
        <v>0</v>
      </c>
      <c r="K108" s="709">
        <f t="shared" ref="K108:K121" si="32">H108*J108</f>
        <v>0</v>
      </c>
      <c r="L108" s="653"/>
    </row>
    <row r="109" spans="1:14" x14ac:dyDescent="0.25">
      <c r="A109" s="518">
        <f>IF(F109&lt;&gt;"",1+MAX($A$7:A108),"")</f>
        <v>58</v>
      </c>
      <c r="B109" s="528" t="s">
        <v>801</v>
      </c>
      <c r="C109" s="559"/>
      <c r="D109" s="560"/>
      <c r="E109" s="392" t="s">
        <v>846</v>
      </c>
      <c r="F109" s="561">
        <v>3</v>
      </c>
      <c r="G109" s="654">
        <v>0</v>
      </c>
      <c r="H109" s="655">
        <f t="shared" si="31"/>
        <v>3</v>
      </c>
      <c r="I109" s="274" t="s">
        <v>677</v>
      </c>
      <c r="J109" s="656">
        <v>0</v>
      </c>
      <c r="K109" s="709">
        <f t="shared" si="32"/>
        <v>0</v>
      </c>
      <c r="L109" s="653"/>
    </row>
    <row r="110" spans="1:14" x14ac:dyDescent="0.25">
      <c r="A110" s="518">
        <f>IF(F110&lt;&gt;"",1+MAX($A$7:A109),"")</f>
        <v>59</v>
      </c>
      <c r="B110" s="528" t="s">
        <v>801</v>
      </c>
      <c r="C110" s="559"/>
      <c r="D110" s="441"/>
      <c r="E110" s="228" t="s">
        <v>847</v>
      </c>
      <c r="F110" s="534">
        <v>13</v>
      </c>
      <c r="G110" s="654">
        <v>0</v>
      </c>
      <c r="H110" s="655">
        <f>F110*(1+G110)</f>
        <v>13</v>
      </c>
      <c r="I110" s="274" t="s">
        <v>677</v>
      </c>
      <c r="J110" s="656">
        <v>0</v>
      </c>
      <c r="K110" s="709">
        <f>H110*J110</f>
        <v>0</v>
      </c>
      <c r="L110" s="653"/>
    </row>
    <row r="111" spans="1:14" ht="63" x14ac:dyDescent="0.25">
      <c r="A111" s="518">
        <f>IF(F111&lt;&gt;"",1+MAX($A$7:A110),"")</f>
        <v>60</v>
      </c>
      <c r="B111" s="528" t="s">
        <v>801</v>
      </c>
      <c r="C111" s="559" t="s">
        <v>817</v>
      </c>
      <c r="D111" s="441"/>
      <c r="E111" s="228" t="s">
        <v>848</v>
      </c>
      <c r="F111" s="534">
        <v>11</v>
      </c>
      <c r="G111" s="654">
        <v>0</v>
      </c>
      <c r="H111" s="655">
        <f t="shared" si="31"/>
        <v>11</v>
      </c>
      <c r="I111" s="274" t="s">
        <v>677</v>
      </c>
      <c r="J111" s="656">
        <v>0</v>
      </c>
      <c r="K111" s="709">
        <f t="shared" si="32"/>
        <v>0</v>
      </c>
      <c r="L111" s="653"/>
    </row>
    <row r="112" spans="1:14" ht="78.75" x14ac:dyDescent="0.25">
      <c r="A112" s="518">
        <f>IF(F112&lt;&gt;"",1+MAX($A$7:A111),"")</f>
        <v>61</v>
      </c>
      <c r="B112" s="528" t="s">
        <v>801</v>
      </c>
      <c r="C112" s="559" t="s">
        <v>817</v>
      </c>
      <c r="D112" s="441"/>
      <c r="E112" s="228" t="s">
        <v>849</v>
      </c>
      <c r="F112" s="534">
        <v>12</v>
      </c>
      <c r="G112" s="654">
        <v>0</v>
      </c>
      <c r="H112" s="655">
        <f t="shared" si="31"/>
        <v>12</v>
      </c>
      <c r="I112" s="274" t="s">
        <v>677</v>
      </c>
      <c r="J112" s="656">
        <v>0</v>
      </c>
      <c r="K112" s="709">
        <f t="shared" si="32"/>
        <v>0</v>
      </c>
      <c r="L112" s="653"/>
    </row>
    <row r="113" spans="1:12" ht="63" x14ac:dyDescent="0.25">
      <c r="A113" s="518">
        <f>IF(F113&lt;&gt;"",1+MAX($A$7:A112),"")</f>
        <v>62</v>
      </c>
      <c r="B113" s="528" t="s">
        <v>801</v>
      </c>
      <c r="C113" s="559" t="s">
        <v>817</v>
      </c>
      <c r="D113" s="441"/>
      <c r="E113" s="228" t="s">
        <v>850</v>
      </c>
      <c r="F113" s="534">
        <v>12</v>
      </c>
      <c r="G113" s="654">
        <v>0</v>
      </c>
      <c r="H113" s="655">
        <f t="shared" si="31"/>
        <v>12</v>
      </c>
      <c r="I113" s="274" t="s">
        <v>677</v>
      </c>
      <c r="J113" s="656">
        <v>0</v>
      </c>
      <c r="K113" s="709">
        <f t="shared" si="32"/>
        <v>0</v>
      </c>
      <c r="L113" s="653"/>
    </row>
    <row r="114" spans="1:12" ht="63" x14ac:dyDescent="0.25">
      <c r="A114" s="518">
        <f>IF(F114&lt;&gt;"",1+MAX($A$7:A113),"")</f>
        <v>63</v>
      </c>
      <c r="B114" s="528" t="s">
        <v>801</v>
      </c>
      <c r="C114" s="559" t="s">
        <v>817</v>
      </c>
      <c r="D114" s="441"/>
      <c r="E114" s="228" t="s">
        <v>851</v>
      </c>
      <c r="F114" s="534">
        <v>12</v>
      </c>
      <c r="G114" s="654">
        <v>0</v>
      </c>
      <c r="H114" s="655">
        <f t="shared" si="31"/>
        <v>12</v>
      </c>
      <c r="I114" s="274" t="s">
        <v>677</v>
      </c>
      <c r="J114" s="656">
        <v>0</v>
      </c>
      <c r="K114" s="709">
        <f t="shared" si="32"/>
        <v>0</v>
      </c>
      <c r="L114" s="653"/>
    </row>
    <row r="115" spans="1:12" ht="94.5" x14ac:dyDescent="0.25">
      <c r="A115" s="518">
        <f>IF(F115&lt;&gt;"",1+MAX($A$7:A114),"")</f>
        <v>64</v>
      </c>
      <c r="B115" s="528" t="s">
        <v>801</v>
      </c>
      <c r="C115" s="559" t="s">
        <v>817</v>
      </c>
      <c r="D115" s="539"/>
      <c r="E115" s="228" t="s">
        <v>852</v>
      </c>
      <c r="F115" s="567">
        <v>8</v>
      </c>
      <c r="G115" s="654">
        <v>0</v>
      </c>
      <c r="H115" s="655">
        <f t="shared" si="31"/>
        <v>8</v>
      </c>
      <c r="I115" s="274" t="s">
        <v>677</v>
      </c>
      <c r="J115" s="656">
        <v>0</v>
      </c>
      <c r="K115" s="709">
        <f t="shared" si="32"/>
        <v>0</v>
      </c>
      <c r="L115" s="653"/>
    </row>
    <row r="116" spans="1:12" ht="63" x14ac:dyDescent="0.25">
      <c r="A116" s="518">
        <f>IF(F116&lt;&gt;"",1+MAX($A$7:A115),"")</f>
        <v>65</v>
      </c>
      <c r="B116" s="528" t="s">
        <v>801</v>
      </c>
      <c r="C116" s="559" t="s">
        <v>817</v>
      </c>
      <c r="D116" s="539"/>
      <c r="E116" s="228" t="s">
        <v>853</v>
      </c>
      <c r="F116" s="567">
        <v>8</v>
      </c>
      <c r="G116" s="654">
        <v>0</v>
      </c>
      <c r="H116" s="655">
        <f t="shared" si="31"/>
        <v>8</v>
      </c>
      <c r="I116" s="274" t="s">
        <v>677</v>
      </c>
      <c r="J116" s="656">
        <v>0</v>
      </c>
      <c r="K116" s="709">
        <f t="shared" si="32"/>
        <v>0</v>
      </c>
      <c r="L116" s="653"/>
    </row>
    <row r="117" spans="1:12" ht="94.5" x14ac:dyDescent="0.25">
      <c r="A117" s="518">
        <f>IF(F117&lt;&gt;"",1+MAX($A$7:A116),"")</f>
        <v>66</v>
      </c>
      <c r="B117" s="528" t="s">
        <v>801</v>
      </c>
      <c r="C117" s="559" t="s">
        <v>817</v>
      </c>
      <c r="D117" s="539"/>
      <c r="E117" s="228" t="s">
        <v>854</v>
      </c>
      <c r="F117" s="567">
        <v>4</v>
      </c>
      <c r="G117" s="654">
        <v>0</v>
      </c>
      <c r="H117" s="655">
        <f t="shared" si="31"/>
        <v>4</v>
      </c>
      <c r="I117" s="274" t="s">
        <v>677</v>
      </c>
      <c r="J117" s="656">
        <v>0</v>
      </c>
      <c r="K117" s="709">
        <f t="shared" si="32"/>
        <v>0</v>
      </c>
      <c r="L117" s="653"/>
    </row>
    <row r="118" spans="1:12" ht="63" x14ac:dyDescent="0.25">
      <c r="A118" s="518">
        <f>IF(F118&lt;&gt;"",1+MAX($A$7:A117),"")</f>
        <v>67</v>
      </c>
      <c r="B118" s="528" t="s">
        <v>801</v>
      </c>
      <c r="C118" s="559" t="s">
        <v>817</v>
      </c>
      <c r="D118" s="539"/>
      <c r="E118" s="228" t="s">
        <v>855</v>
      </c>
      <c r="F118" s="567">
        <v>4</v>
      </c>
      <c r="G118" s="654">
        <v>0</v>
      </c>
      <c r="H118" s="655">
        <f t="shared" si="31"/>
        <v>4</v>
      </c>
      <c r="I118" s="274" t="s">
        <v>677</v>
      </c>
      <c r="J118" s="658">
        <f>J$116</f>
        <v>0</v>
      </c>
      <c r="K118" s="709">
        <f t="shared" si="32"/>
        <v>0</v>
      </c>
      <c r="L118" s="653"/>
    </row>
    <row r="119" spans="1:12" ht="94.5" x14ac:dyDescent="0.25">
      <c r="A119" s="518">
        <f>IF(F119&lt;&gt;"",1+MAX($A$7:A118),"")</f>
        <v>68</v>
      </c>
      <c r="B119" s="528" t="s">
        <v>801</v>
      </c>
      <c r="C119" s="559" t="s">
        <v>817</v>
      </c>
      <c r="D119" s="539"/>
      <c r="E119" s="228" t="s">
        <v>856</v>
      </c>
      <c r="F119" s="567">
        <v>8</v>
      </c>
      <c r="G119" s="654">
        <v>0</v>
      </c>
      <c r="H119" s="655">
        <f t="shared" si="31"/>
        <v>8</v>
      </c>
      <c r="I119" s="274" t="s">
        <v>677</v>
      </c>
      <c r="J119" s="656">
        <v>0</v>
      </c>
      <c r="K119" s="709">
        <f t="shared" si="32"/>
        <v>0</v>
      </c>
      <c r="L119" s="653"/>
    </row>
    <row r="120" spans="1:12" ht="31.5" x14ac:dyDescent="0.25">
      <c r="A120" s="518">
        <f>IF(F120&lt;&gt;"",1+MAX($A$7:A119),"")</f>
        <v>69</v>
      </c>
      <c r="B120" s="528" t="s">
        <v>801</v>
      </c>
      <c r="C120" s="559" t="s">
        <v>817</v>
      </c>
      <c r="D120" s="441"/>
      <c r="E120" s="228" t="s">
        <v>857</v>
      </c>
      <c r="F120" s="534">
        <v>8</v>
      </c>
      <c r="G120" s="654">
        <v>0</v>
      </c>
      <c r="H120" s="655">
        <f t="shared" si="31"/>
        <v>8</v>
      </c>
      <c r="I120" s="274" t="s">
        <v>677</v>
      </c>
      <c r="J120" s="656">
        <v>0</v>
      </c>
      <c r="K120" s="709">
        <f t="shared" si="32"/>
        <v>0</v>
      </c>
      <c r="L120" s="653"/>
    </row>
    <row r="121" spans="1:12" ht="48.75" customHeight="1" x14ac:dyDescent="0.25">
      <c r="A121" s="518">
        <f>IF(F121&lt;&gt;"",1+MAX($A$7:A120),"")</f>
        <v>70</v>
      </c>
      <c r="B121" s="528" t="s">
        <v>801</v>
      </c>
      <c r="C121" s="559" t="s">
        <v>817</v>
      </c>
      <c r="D121" s="441"/>
      <c r="E121" s="228" t="s">
        <v>858</v>
      </c>
      <c r="F121" s="534">
        <v>1</v>
      </c>
      <c r="G121" s="654">
        <v>0</v>
      </c>
      <c r="H121" s="655">
        <f t="shared" si="31"/>
        <v>1</v>
      </c>
      <c r="I121" s="274" t="s">
        <v>677</v>
      </c>
      <c r="J121" s="656">
        <v>0</v>
      </c>
      <c r="K121" s="709">
        <f t="shared" si="32"/>
        <v>0</v>
      </c>
      <c r="L121" s="653"/>
    </row>
    <row r="122" spans="1:12" ht="16.5" thickBot="1" x14ac:dyDescent="0.3">
      <c r="A122" s="518" t="str">
        <f>IF(F122&lt;&gt;"",1+MAX($A$7:A121),"")</f>
        <v/>
      </c>
      <c r="B122" s="528"/>
      <c r="C122" s="520"/>
      <c r="D122" s="379"/>
      <c r="E122" s="536"/>
      <c r="F122" s="537"/>
      <c r="G122" s="651"/>
      <c r="H122" s="651"/>
      <c r="I122" s="221"/>
      <c r="J122" s="651"/>
      <c r="K122" s="709"/>
      <c r="L122" s="653"/>
    </row>
    <row r="123" spans="1:12" s="650" customFormat="1" ht="16.5" customHeight="1" thickBot="1" x14ac:dyDescent="0.25">
      <c r="A123" s="518" t="str">
        <f>IF(F123&lt;&gt;"",1+MAX($A$7:A122),"")</f>
        <v/>
      </c>
      <c r="B123" s="266"/>
      <c r="C123" s="520"/>
      <c r="D123" s="497"/>
      <c r="E123" s="521" t="s">
        <v>859</v>
      </c>
      <c r="F123" s="522"/>
      <c r="G123" s="523"/>
      <c r="H123" s="524"/>
      <c r="I123" s="221"/>
      <c r="J123" s="525"/>
      <c r="K123" s="526"/>
      <c r="L123" s="527"/>
    </row>
    <row r="124" spans="1:12" ht="47.25" x14ac:dyDescent="0.25">
      <c r="A124" s="518">
        <f>IF(F124&lt;&gt;"",1+MAX($A$7:A123),"")</f>
        <v>71</v>
      </c>
      <c r="B124" s="528" t="s">
        <v>801</v>
      </c>
      <c r="C124" s="559"/>
      <c r="D124" s="560"/>
      <c r="E124" s="392" t="s">
        <v>860</v>
      </c>
      <c r="F124" s="534">
        <f>103*3*4/27</f>
        <v>45.777777777777779</v>
      </c>
      <c r="G124" s="654">
        <v>0.1</v>
      </c>
      <c r="H124" s="655">
        <f t="shared" ref="H124:H125" si="33">F124*(1+G124)</f>
        <v>50.355555555555561</v>
      </c>
      <c r="I124" s="83" t="s">
        <v>458</v>
      </c>
      <c r="J124" s="656">
        <v>0</v>
      </c>
      <c r="K124" s="709">
        <f t="shared" ref="K124:K125" si="34">H124*J124</f>
        <v>0</v>
      </c>
      <c r="L124" s="653"/>
    </row>
    <row r="125" spans="1:12" x14ac:dyDescent="0.25">
      <c r="A125" s="518">
        <f>IF(F125&lt;&gt;"",1+MAX($A$7:A124),"")</f>
        <v>72</v>
      </c>
      <c r="B125" s="528" t="s">
        <v>801</v>
      </c>
      <c r="C125" s="559"/>
      <c r="D125" s="560"/>
      <c r="E125" s="392" t="s">
        <v>517</v>
      </c>
      <c r="F125" s="534">
        <f>F124-(3.14*0.17*0.17*103/27)</f>
        <v>45.431598592592593</v>
      </c>
      <c r="G125" s="654">
        <v>0.1</v>
      </c>
      <c r="H125" s="655">
        <f t="shared" si="33"/>
        <v>49.974758451851855</v>
      </c>
      <c r="I125" s="83" t="s">
        <v>458</v>
      </c>
      <c r="J125" s="656">
        <v>0</v>
      </c>
      <c r="K125" s="709">
        <f t="shared" si="34"/>
        <v>0</v>
      </c>
      <c r="L125" s="653"/>
    </row>
    <row r="126" spans="1:12" ht="16.5" thickBot="1" x14ac:dyDescent="0.3">
      <c r="A126" s="518" t="str">
        <f>IF(F126&lt;&gt;"",1+MAX($A$7:A125),"")</f>
        <v/>
      </c>
      <c r="B126" s="528"/>
      <c r="C126" s="520"/>
      <c r="D126" s="379"/>
      <c r="E126" s="536"/>
      <c r="F126" s="537"/>
      <c r="G126" s="651"/>
      <c r="H126" s="651"/>
      <c r="I126" s="221"/>
      <c r="J126" s="651"/>
      <c r="K126" s="709"/>
      <c r="L126" s="653"/>
    </row>
    <row r="127" spans="1:12" s="650" customFormat="1" ht="16.5" customHeight="1" thickBot="1" x14ac:dyDescent="0.25">
      <c r="A127" s="518" t="str">
        <f>IF(F127&lt;&gt;"",1+MAX($A$7:A126),"")</f>
        <v/>
      </c>
      <c r="B127" s="266"/>
      <c r="C127" s="520"/>
      <c r="D127" s="497"/>
      <c r="E127" s="521" t="s">
        <v>791</v>
      </c>
      <c r="F127" s="522"/>
      <c r="G127" s="523"/>
      <c r="H127" s="524"/>
      <c r="I127" s="221"/>
      <c r="J127" s="525"/>
      <c r="K127" s="526"/>
      <c r="L127" s="527"/>
    </row>
    <row r="128" spans="1:12" ht="21.75" customHeight="1" x14ac:dyDescent="0.25">
      <c r="A128" s="518">
        <f>IF(F128&lt;&gt;"",1+MAX($A$7:A127),"")</f>
        <v>73</v>
      </c>
      <c r="B128" s="528" t="s">
        <v>801</v>
      </c>
      <c r="C128" s="559"/>
      <c r="D128" s="560"/>
      <c r="E128" s="392" t="s">
        <v>861</v>
      </c>
      <c r="F128" s="534">
        <v>1</v>
      </c>
      <c r="G128" s="654">
        <v>0</v>
      </c>
      <c r="H128" s="655">
        <f t="shared" ref="H128" si="35">F128*(1+G128)</f>
        <v>1</v>
      </c>
      <c r="I128" s="83" t="s">
        <v>48</v>
      </c>
      <c r="J128" s="656">
        <v>0</v>
      </c>
      <c r="K128" s="709">
        <f t="shared" ref="K128" si="36">H128*J128</f>
        <v>0</v>
      </c>
      <c r="L128" s="653"/>
    </row>
    <row r="129" spans="1:14" ht="16.5" thickBot="1" x14ac:dyDescent="0.3">
      <c r="A129" s="518" t="str">
        <f>IF(F129&lt;&gt;"",1+MAX($A$7:A128),"")</f>
        <v/>
      </c>
      <c r="B129" s="83"/>
      <c r="C129" s="529"/>
      <c r="D129" s="379"/>
      <c r="E129" s="545"/>
      <c r="F129" s="537"/>
      <c r="G129" s="651"/>
      <c r="H129" s="651"/>
      <c r="I129" s="221"/>
      <c r="J129" s="651"/>
      <c r="K129" s="709"/>
      <c r="L129" s="653"/>
    </row>
    <row r="130" spans="1:14" s="650" customFormat="1" ht="16.5" thickBot="1" x14ac:dyDescent="0.25">
      <c r="A130" s="518" t="str">
        <f>IF(F130&lt;&gt;"",1+MAX($A$7:A129),"")</f>
        <v/>
      </c>
      <c r="B130" s="551"/>
      <c r="C130" s="670"/>
      <c r="D130" s="671" t="s">
        <v>482</v>
      </c>
      <c r="E130" s="672" t="s">
        <v>862</v>
      </c>
      <c r="F130" s="673"/>
      <c r="G130" s="674"/>
      <c r="H130" s="675"/>
      <c r="I130" s="676"/>
      <c r="J130" s="525"/>
      <c r="K130" s="526"/>
      <c r="L130" s="527"/>
    </row>
    <row r="131" spans="1:14" ht="16.5" thickBot="1" x14ac:dyDescent="0.3">
      <c r="A131" s="518" t="str">
        <f>IF(F131&lt;&gt;"",1+MAX($A$7:A130),"")</f>
        <v/>
      </c>
      <c r="B131" s="83"/>
      <c r="C131" s="520"/>
      <c r="D131" s="379"/>
      <c r="E131" s="554" t="s">
        <v>1056</v>
      </c>
      <c r="F131" s="537"/>
      <c r="G131" s="651"/>
      <c r="H131" s="651"/>
      <c r="I131" s="221"/>
      <c r="J131" s="651"/>
      <c r="K131" s="709"/>
      <c r="L131" s="653"/>
    </row>
    <row r="132" spans="1:14" s="650" customFormat="1" ht="16.5" customHeight="1" thickBot="1" x14ac:dyDescent="0.25">
      <c r="A132" s="518" t="str">
        <f>IF(F132&lt;&gt;"",1+MAX($A$7:A131),"")</f>
        <v/>
      </c>
      <c r="B132" s="266"/>
      <c r="C132" s="520"/>
      <c r="D132" s="497"/>
      <c r="E132" s="521" t="s">
        <v>799</v>
      </c>
      <c r="F132" s="522"/>
      <c r="G132" s="523"/>
      <c r="H132" s="524"/>
      <c r="I132" s="221"/>
      <c r="J132" s="525"/>
      <c r="K132" s="526"/>
      <c r="L132" s="527"/>
    </row>
    <row r="133" spans="1:14" x14ac:dyDescent="0.25">
      <c r="A133" s="518" t="str">
        <f>IF(F133&lt;&gt;"",1+MAX($A$7:A132),"")</f>
        <v/>
      </c>
      <c r="B133" s="528"/>
      <c r="C133" s="529"/>
      <c r="D133" s="568"/>
      <c r="E133" s="531" t="s">
        <v>836</v>
      </c>
      <c r="F133" s="569"/>
      <c r="G133" s="651"/>
      <c r="H133" s="651"/>
      <c r="I133" s="76"/>
      <c r="J133" s="651"/>
      <c r="K133" s="709"/>
      <c r="L133" s="653"/>
    </row>
    <row r="134" spans="1:14" x14ac:dyDescent="0.25">
      <c r="A134" s="518">
        <f>IF(F134&lt;&gt;"",1+MAX($A$7:A133),"")</f>
        <v>74</v>
      </c>
      <c r="B134" s="528" t="s">
        <v>863</v>
      </c>
      <c r="C134" s="529"/>
      <c r="D134" s="374"/>
      <c r="E134" s="533" t="s">
        <v>864</v>
      </c>
      <c r="F134" s="534">
        <f>38.08</f>
        <v>38.08</v>
      </c>
      <c r="G134" s="654">
        <v>0.1</v>
      </c>
      <c r="H134" s="655">
        <f t="shared" ref="H134:H135" si="37">F134*(1+G134)</f>
        <v>41.887999999999998</v>
      </c>
      <c r="I134" s="83" t="s">
        <v>13</v>
      </c>
      <c r="J134" s="656">
        <v>0</v>
      </c>
      <c r="K134" s="709">
        <f t="shared" ref="K134:K135" si="38">H134*J134</f>
        <v>0</v>
      </c>
      <c r="L134" s="653"/>
      <c r="M134" s="717"/>
      <c r="N134" s="717"/>
    </row>
    <row r="135" spans="1:14" x14ac:dyDescent="0.25">
      <c r="A135" s="518">
        <f>IF(F135&lt;&gt;"",1+MAX($A$7:A134),"")</f>
        <v>75</v>
      </c>
      <c r="B135" s="528" t="s">
        <v>863</v>
      </c>
      <c r="C135" s="529"/>
      <c r="D135" s="374"/>
      <c r="E135" s="533" t="s">
        <v>865</v>
      </c>
      <c r="F135" s="534">
        <f>98.74</f>
        <v>98.74</v>
      </c>
      <c r="G135" s="654">
        <v>0.1</v>
      </c>
      <c r="H135" s="655">
        <f t="shared" si="37"/>
        <v>108.614</v>
      </c>
      <c r="I135" s="83" t="s">
        <v>13</v>
      </c>
      <c r="J135" s="656">
        <v>0</v>
      </c>
      <c r="K135" s="709">
        <f t="shared" si="38"/>
        <v>0</v>
      </c>
      <c r="L135" s="653"/>
      <c r="M135" s="717"/>
      <c r="N135" s="717"/>
    </row>
    <row r="136" spans="1:14" x14ac:dyDescent="0.25">
      <c r="A136" s="518" t="str">
        <f>IF(F136&lt;&gt;"",1+MAX($A$7:A135),"")</f>
        <v/>
      </c>
      <c r="B136" s="83"/>
      <c r="C136" s="520"/>
      <c r="D136" s="379"/>
      <c r="E136" s="536"/>
      <c r="F136" s="537"/>
      <c r="G136" s="651"/>
      <c r="H136" s="651"/>
      <c r="I136" s="221"/>
      <c r="J136" s="651"/>
      <c r="K136" s="709"/>
      <c r="L136" s="653"/>
    </row>
    <row r="137" spans="1:14" x14ac:dyDescent="0.25">
      <c r="A137" s="518" t="str">
        <f>IF(F137&lt;&gt;"",1+MAX($A$7:A136),"")</f>
        <v/>
      </c>
      <c r="B137" s="528"/>
      <c r="C137" s="529"/>
      <c r="D137" s="530"/>
      <c r="E137" s="531" t="s">
        <v>800</v>
      </c>
      <c r="F137" s="532"/>
      <c r="G137" s="651"/>
      <c r="H137" s="651"/>
      <c r="I137" s="76"/>
      <c r="J137" s="651"/>
      <c r="K137" s="709"/>
      <c r="L137" s="653"/>
    </row>
    <row r="138" spans="1:14" x14ac:dyDescent="0.25">
      <c r="A138" s="518">
        <f>IF(F138&lt;&gt;"",1+MAX($A$7:A137),"")</f>
        <v>76</v>
      </c>
      <c r="B138" s="528" t="s">
        <v>863</v>
      </c>
      <c r="C138" s="529"/>
      <c r="D138" s="374"/>
      <c r="E138" s="533" t="s">
        <v>866</v>
      </c>
      <c r="F138" s="534">
        <f>7.91</f>
        <v>7.91</v>
      </c>
      <c r="G138" s="654">
        <v>0.1</v>
      </c>
      <c r="H138" s="655">
        <f t="shared" ref="H138" si="39">F138*(1+G138)</f>
        <v>8.7010000000000005</v>
      </c>
      <c r="I138" s="83" t="s">
        <v>13</v>
      </c>
      <c r="J138" s="658">
        <f>J$134</f>
        <v>0</v>
      </c>
      <c r="K138" s="709">
        <f t="shared" ref="K138" si="40">H138*J138</f>
        <v>0</v>
      </c>
      <c r="L138" s="653"/>
    </row>
    <row r="139" spans="1:14" ht="16.5" thickBot="1" x14ac:dyDescent="0.3">
      <c r="A139" s="518" t="str">
        <f>IF(F139&lt;&gt;"",1+MAX($A$7:A138),"")</f>
        <v/>
      </c>
      <c r="B139" s="83"/>
      <c r="C139" s="520"/>
      <c r="D139" s="379"/>
      <c r="E139" s="536"/>
      <c r="F139" s="537"/>
      <c r="G139" s="651"/>
      <c r="H139" s="651"/>
      <c r="I139" s="221"/>
      <c r="J139" s="651"/>
      <c r="K139" s="709"/>
      <c r="L139" s="653"/>
    </row>
    <row r="140" spans="1:14" s="650" customFormat="1" ht="16.5" customHeight="1" thickBot="1" x14ac:dyDescent="0.25">
      <c r="A140" s="518" t="str">
        <f>IF(F140&lt;&gt;"",1+MAX($A$7:A139),"")</f>
        <v/>
      </c>
      <c r="B140" s="266"/>
      <c r="C140" s="520"/>
      <c r="D140" s="497"/>
      <c r="E140" s="521" t="s">
        <v>867</v>
      </c>
      <c r="F140" s="522"/>
      <c r="G140" s="523"/>
      <c r="H140" s="524"/>
      <c r="I140" s="221"/>
      <c r="J140" s="525"/>
      <c r="K140" s="526"/>
      <c r="L140" s="527"/>
    </row>
    <row r="141" spans="1:14" x14ac:dyDescent="0.25">
      <c r="A141" s="518">
        <f>IF(F141&lt;&gt;"",1+MAX($A$7:A140),"")</f>
        <v>77</v>
      </c>
      <c r="B141" s="539" t="s">
        <v>868</v>
      </c>
      <c r="C141" s="566"/>
      <c r="D141" s="565"/>
      <c r="E141" s="392" t="s">
        <v>869</v>
      </c>
      <c r="F141" s="534">
        <f>(10*12)+(6*4)+(1*9)</f>
        <v>153</v>
      </c>
      <c r="G141" s="654">
        <v>0.1</v>
      </c>
      <c r="H141" s="655">
        <f t="shared" ref="H141" si="41">F141*(1+G141)</f>
        <v>168.3</v>
      </c>
      <c r="I141" s="83" t="s">
        <v>13</v>
      </c>
      <c r="J141" s="658">
        <f>J$134</f>
        <v>0</v>
      </c>
      <c r="K141" s="709">
        <f t="shared" ref="K141" si="42">H141*J141</f>
        <v>0</v>
      </c>
      <c r="L141" s="653"/>
    </row>
    <row r="142" spans="1:14" ht="16.5" thickBot="1" x14ac:dyDescent="0.3">
      <c r="A142" s="518" t="str">
        <f>IF(F142&lt;&gt;"",1+MAX($A$7:A141),"")</f>
        <v/>
      </c>
      <c r="B142" s="555"/>
      <c r="C142" s="556"/>
      <c r="D142" s="539"/>
      <c r="E142" s="228"/>
      <c r="F142" s="557"/>
      <c r="G142" s="651"/>
      <c r="H142" s="651"/>
      <c r="I142" s="558"/>
      <c r="J142" s="651"/>
      <c r="K142" s="709"/>
      <c r="L142" s="653"/>
    </row>
    <row r="143" spans="1:14" s="650" customFormat="1" ht="16.5" customHeight="1" thickBot="1" x14ac:dyDescent="0.25">
      <c r="A143" s="518" t="str">
        <f>IF(F143&lt;&gt;"",1+MAX($A$7:A142),"")</f>
        <v/>
      </c>
      <c r="B143" s="266"/>
      <c r="C143" s="520"/>
      <c r="D143" s="497"/>
      <c r="E143" s="521" t="s">
        <v>870</v>
      </c>
      <c r="F143" s="522"/>
      <c r="G143" s="523"/>
      <c r="H143" s="524"/>
      <c r="I143" s="221"/>
      <c r="J143" s="525"/>
      <c r="K143" s="526"/>
      <c r="L143" s="527"/>
    </row>
    <row r="144" spans="1:14" x14ac:dyDescent="0.25">
      <c r="A144" s="518">
        <f>IF(F144&lt;&gt;"",1+MAX($A$7:A143),"")</f>
        <v>78</v>
      </c>
      <c r="B144" s="539" t="s">
        <v>868</v>
      </c>
      <c r="C144" s="566"/>
      <c r="D144" s="441"/>
      <c r="E144" s="228" t="s">
        <v>871</v>
      </c>
      <c r="F144" s="534">
        <v>4</v>
      </c>
      <c r="G144" s="654">
        <v>0</v>
      </c>
      <c r="H144" s="655">
        <f t="shared" ref="H144:H145" si="43">F144*(1+G144)</f>
        <v>4</v>
      </c>
      <c r="I144" s="274" t="s">
        <v>677</v>
      </c>
      <c r="J144" s="656">
        <v>0</v>
      </c>
      <c r="K144" s="709">
        <f t="shared" ref="K144:K145" si="44">H144*J144</f>
        <v>0</v>
      </c>
      <c r="L144" s="653"/>
    </row>
    <row r="145" spans="1:15" x14ac:dyDescent="0.25">
      <c r="A145" s="518">
        <f>IF(F145&lt;&gt;"",1+MAX($A$7:A144),"")</f>
        <v>79</v>
      </c>
      <c r="B145" s="539" t="s">
        <v>868</v>
      </c>
      <c r="C145" s="566"/>
      <c r="D145" s="441"/>
      <c r="E145" s="228" t="s">
        <v>846</v>
      </c>
      <c r="F145" s="534">
        <v>2</v>
      </c>
      <c r="G145" s="654">
        <v>0</v>
      </c>
      <c r="H145" s="655">
        <f t="shared" si="43"/>
        <v>2</v>
      </c>
      <c r="I145" s="274" t="s">
        <v>677</v>
      </c>
      <c r="J145" s="656">
        <v>0</v>
      </c>
      <c r="K145" s="709">
        <f t="shared" si="44"/>
        <v>0</v>
      </c>
      <c r="L145" s="653"/>
    </row>
    <row r="146" spans="1:15" ht="16.5" thickBot="1" x14ac:dyDescent="0.3">
      <c r="A146" s="518" t="str">
        <f>IF(F146&lt;&gt;"",1+MAX($A$7:A145),"")</f>
        <v/>
      </c>
      <c r="B146" s="528"/>
      <c r="C146" s="520"/>
      <c r="D146" s="379"/>
      <c r="E146" s="536"/>
      <c r="F146" s="537"/>
      <c r="G146" s="651"/>
      <c r="H146" s="651"/>
      <c r="I146" s="221"/>
      <c r="J146" s="651"/>
      <c r="K146" s="709"/>
      <c r="L146" s="653"/>
    </row>
    <row r="147" spans="1:15" s="650" customFormat="1" ht="16.5" customHeight="1" thickBot="1" x14ac:dyDescent="0.25">
      <c r="A147" s="518" t="str">
        <f>IF(F147&lt;&gt;"",1+MAX($A$7:A146),"")</f>
        <v/>
      </c>
      <c r="B147" s="266"/>
      <c r="C147" s="520"/>
      <c r="D147" s="497"/>
      <c r="E147" s="521" t="s">
        <v>859</v>
      </c>
      <c r="F147" s="522"/>
      <c r="G147" s="523"/>
      <c r="H147" s="524"/>
      <c r="I147" s="221"/>
      <c r="J147" s="525"/>
      <c r="K147" s="526"/>
      <c r="L147" s="527"/>
    </row>
    <row r="148" spans="1:15" ht="47.25" x14ac:dyDescent="0.25">
      <c r="A148" s="518">
        <f>IF(F148&lt;&gt;"",1+MAX($A$7:A147),"")</f>
        <v>80</v>
      </c>
      <c r="B148" s="528" t="s">
        <v>801</v>
      </c>
      <c r="C148" s="559"/>
      <c r="D148" s="560"/>
      <c r="E148" s="392" t="s">
        <v>872</v>
      </c>
      <c r="F148" s="534">
        <f>137*3*4/27</f>
        <v>60.888888888888886</v>
      </c>
      <c r="G148" s="654">
        <v>0.1</v>
      </c>
      <c r="H148" s="655">
        <f t="shared" ref="H148:H149" si="45">F148*(1+G148)</f>
        <v>66.977777777777774</v>
      </c>
      <c r="I148" s="83" t="s">
        <v>458</v>
      </c>
      <c r="J148" s="658">
        <f>J$124</f>
        <v>0</v>
      </c>
      <c r="K148" s="709">
        <f t="shared" ref="K148:K149" si="46">H148*J148</f>
        <v>0</v>
      </c>
      <c r="L148" s="653"/>
    </row>
    <row r="149" spans="1:15" x14ac:dyDescent="0.25">
      <c r="A149" s="518">
        <f>IF(F149&lt;&gt;"",1+MAX($A$7:A148),"")</f>
        <v>81</v>
      </c>
      <c r="B149" s="528" t="s">
        <v>801</v>
      </c>
      <c r="C149" s="559"/>
      <c r="D149" s="560"/>
      <c r="E149" s="392" t="s">
        <v>517</v>
      </c>
      <c r="F149" s="534">
        <f>F148-(3.14*0.17*0.17*38/27)-(3.14*0.25*0.25*99/27)</f>
        <v>60.041588962962962</v>
      </c>
      <c r="G149" s="654">
        <v>0.1</v>
      </c>
      <c r="H149" s="655">
        <f t="shared" si="45"/>
        <v>66.045747859259265</v>
      </c>
      <c r="I149" s="83" t="s">
        <v>458</v>
      </c>
      <c r="J149" s="658">
        <f>J$125</f>
        <v>0</v>
      </c>
      <c r="K149" s="709">
        <f t="shared" si="46"/>
        <v>0</v>
      </c>
      <c r="L149" s="653"/>
    </row>
    <row r="150" spans="1:15" ht="16.5" thickBot="1" x14ac:dyDescent="0.3">
      <c r="A150" s="518" t="str">
        <f>IF(F150&lt;&gt;"",1+MAX($A$7:A149),"")</f>
        <v/>
      </c>
      <c r="B150" s="528"/>
      <c r="C150" s="520"/>
      <c r="D150" s="379"/>
      <c r="E150" s="536"/>
      <c r="F150" s="537"/>
      <c r="G150" s="651"/>
      <c r="H150" s="651"/>
      <c r="I150" s="221"/>
      <c r="J150" s="651"/>
      <c r="K150" s="709"/>
      <c r="L150" s="653"/>
    </row>
    <row r="151" spans="1:15" s="650" customFormat="1" ht="16.5" customHeight="1" thickBot="1" x14ac:dyDescent="0.25">
      <c r="A151" s="518" t="str">
        <f>IF(F151&lt;&gt;"",1+MAX($A$7:A150),"")</f>
        <v/>
      </c>
      <c r="B151" s="266"/>
      <c r="C151" s="520"/>
      <c r="D151" s="497"/>
      <c r="E151" s="521" t="s">
        <v>791</v>
      </c>
      <c r="F151" s="522"/>
      <c r="G151" s="523"/>
      <c r="H151" s="524"/>
      <c r="I151" s="221"/>
      <c r="J151" s="525"/>
      <c r="K151" s="526"/>
      <c r="L151" s="527"/>
    </row>
    <row r="152" spans="1:15" x14ac:dyDescent="0.25">
      <c r="A152" s="518">
        <f>IF(F152&lt;&gt;"",1+MAX($A$7:A151),"")</f>
        <v>82</v>
      </c>
      <c r="B152" s="528" t="s">
        <v>863</v>
      </c>
      <c r="C152" s="559"/>
      <c r="D152" s="560"/>
      <c r="E152" s="392" t="s">
        <v>873</v>
      </c>
      <c r="F152" s="534">
        <v>1</v>
      </c>
      <c r="G152" s="654">
        <v>0</v>
      </c>
      <c r="H152" s="655">
        <f t="shared" ref="H152" si="47">F152*(1+G152)</f>
        <v>1</v>
      </c>
      <c r="I152" s="83" t="s">
        <v>48</v>
      </c>
      <c r="J152" s="656">
        <v>0</v>
      </c>
      <c r="K152" s="709">
        <f t="shared" ref="K152" si="48">H152*J152</f>
        <v>0</v>
      </c>
      <c r="L152" s="653"/>
    </row>
    <row r="153" spans="1:15" ht="15.75" customHeight="1" thickBot="1" x14ac:dyDescent="0.3">
      <c r="A153" s="518" t="str">
        <f>IF(F153&lt;&gt;"",1+MAX($A$7:A152),"")</f>
        <v/>
      </c>
      <c r="B153" s="83"/>
      <c r="C153" s="520"/>
      <c r="D153" s="379"/>
      <c r="E153" s="542"/>
      <c r="F153" s="543"/>
      <c r="G153" s="543"/>
      <c r="H153" s="543"/>
      <c r="I153" s="544"/>
      <c r="J153" s="543"/>
      <c r="K153" s="713"/>
      <c r="L153" s="653"/>
    </row>
    <row r="154" spans="1:15" ht="16.5" thickBot="1" x14ac:dyDescent="0.3">
      <c r="A154" s="518" t="str">
        <f>IF(F154&lt;&gt;"",1+MAX($A$7:A153),"")</f>
        <v/>
      </c>
      <c r="B154" s="83"/>
      <c r="C154" s="520"/>
      <c r="D154" s="379"/>
      <c r="E154" s="545" t="s">
        <v>1017</v>
      </c>
      <c r="F154" s="537"/>
      <c r="G154" s="651"/>
      <c r="H154" s="651"/>
      <c r="I154" s="221"/>
      <c r="J154" s="663"/>
      <c r="K154" s="664"/>
      <c r="L154" s="665">
        <f>SUM(K40:K153)</f>
        <v>0</v>
      </c>
    </row>
    <row r="155" spans="1:15" ht="16.5" thickBot="1" x14ac:dyDescent="0.3">
      <c r="A155" s="518" t="str">
        <f>IF(F155&lt;&gt;"",1+MAX($A$7:A154),"")</f>
        <v/>
      </c>
      <c r="B155" s="528"/>
      <c r="C155" s="520"/>
      <c r="D155" s="379"/>
      <c r="E155" s="536"/>
      <c r="F155" s="537"/>
      <c r="G155" s="651"/>
      <c r="H155" s="651"/>
      <c r="I155" s="651"/>
      <c r="J155" s="651"/>
      <c r="K155" s="709"/>
      <c r="L155" s="653"/>
    </row>
    <row r="156" spans="1:15" s="650" customFormat="1" ht="16.5" thickBot="1" x14ac:dyDescent="0.25">
      <c r="A156" s="518" t="str">
        <f>IF(F156&lt;&gt;"",1+MAX($A$7:A155),"")</f>
        <v/>
      </c>
      <c r="B156" s="644"/>
      <c r="C156" s="645"/>
      <c r="D156" s="645" t="s">
        <v>874</v>
      </c>
      <c r="E156" s="646" t="s">
        <v>875</v>
      </c>
      <c r="F156" s="519"/>
      <c r="G156" s="645"/>
      <c r="H156" s="645"/>
      <c r="I156" s="645"/>
      <c r="J156" s="648"/>
      <c r="K156" s="715"/>
      <c r="L156" s="653"/>
    </row>
    <row r="157" spans="1:15" s="650" customFormat="1" ht="16.5" customHeight="1" thickBot="1" x14ac:dyDescent="0.25">
      <c r="A157" s="518" t="str">
        <f>IF(F157&lt;&gt;"",1+MAX($A$7:A156),"")</f>
        <v/>
      </c>
      <c r="B157" s="266"/>
      <c r="C157" s="520"/>
      <c r="D157" s="497"/>
      <c r="E157" s="521" t="s">
        <v>876</v>
      </c>
      <c r="F157" s="522"/>
      <c r="G157" s="523"/>
      <c r="H157" s="524"/>
      <c r="I157" s="221"/>
      <c r="J157" s="525"/>
      <c r="K157" s="526"/>
      <c r="L157" s="527"/>
    </row>
    <row r="158" spans="1:15" x14ac:dyDescent="0.25">
      <c r="A158" s="518" t="str">
        <f>IF(F158&lt;&gt;"",1+MAX($A$7:A157),"")</f>
        <v/>
      </c>
      <c r="B158" s="528"/>
      <c r="C158" s="529"/>
      <c r="D158" s="530"/>
      <c r="E158" s="531" t="s">
        <v>877</v>
      </c>
      <c r="F158" s="532"/>
      <c r="G158" s="651"/>
      <c r="H158" s="651"/>
      <c r="I158" s="76"/>
      <c r="J158" s="651"/>
      <c r="K158" s="709"/>
      <c r="L158" s="653"/>
    </row>
    <row r="159" spans="1:15" x14ac:dyDescent="0.25">
      <c r="A159" s="518">
        <f>IF(F159&lt;&gt;"",1+MAX($A$7:A158),"")</f>
        <v>83</v>
      </c>
      <c r="B159" s="528" t="s">
        <v>878</v>
      </c>
      <c r="C159" s="529"/>
      <c r="D159" s="374"/>
      <c r="E159" s="533" t="s">
        <v>879</v>
      </c>
      <c r="F159" s="534">
        <f>13.96</f>
        <v>13.96</v>
      </c>
      <c r="G159" s="654">
        <v>0.1</v>
      </c>
      <c r="H159" s="655">
        <f>F159*(1+G159)</f>
        <v>15.356000000000002</v>
      </c>
      <c r="I159" s="83" t="s">
        <v>13</v>
      </c>
      <c r="J159" s="656">
        <v>0</v>
      </c>
      <c r="K159" s="709">
        <f>H159*J159</f>
        <v>0</v>
      </c>
      <c r="L159" s="653"/>
      <c r="M159" s="717"/>
      <c r="N159" s="717"/>
      <c r="O159" s="677"/>
    </row>
    <row r="160" spans="1:15" x14ac:dyDescent="0.25">
      <c r="A160" s="518">
        <f>IF(F160&lt;&gt;"",1+MAX($A$7:A159),"")</f>
        <v>84</v>
      </c>
      <c r="B160" s="528" t="s">
        <v>878</v>
      </c>
      <c r="C160" s="529"/>
      <c r="D160" s="374"/>
      <c r="E160" s="533" t="s">
        <v>880</v>
      </c>
      <c r="F160" s="534">
        <v>99.5</v>
      </c>
      <c r="G160" s="654">
        <v>0.1</v>
      </c>
      <c r="H160" s="655">
        <f>F160*(1+G160)</f>
        <v>109.45</v>
      </c>
      <c r="I160" s="83" t="s">
        <v>13</v>
      </c>
      <c r="J160" s="656">
        <v>0</v>
      </c>
      <c r="K160" s="709">
        <f>H160*J160</f>
        <v>0</v>
      </c>
      <c r="L160" s="653"/>
      <c r="M160" s="717"/>
      <c r="N160" s="717"/>
      <c r="O160" s="677"/>
    </row>
    <row r="161" spans="1:15" x14ac:dyDescent="0.25">
      <c r="A161" s="518">
        <f>IF(F161&lt;&gt;"",1+MAX($A$7:A160),"")</f>
        <v>85</v>
      </c>
      <c r="B161" s="528" t="s">
        <v>878</v>
      </c>
      <c r="C161" s="529"/>
      <c r="D161" s="374"/>
      <c r="E161" s="533" t="s">
        <v>881</v>
      </c>
      <c r="F161" s="534">
        <v>117.03</v>
      </c>
      <c r="G161" s="654">
        <v>0.1</v>
      </c>
      <c r="H161" s="655">
        <f>F161*(1+G161)</f>
        <v>128.733</v>
      </c>
      <c r="I161" s="83" t="s">
        <v>13</v>
      </c>
      <c r="J161" s="656">
        <v>0</v>
      </c>
      <c r="K161" s="709">
        <f>H161*J161</f>
        <v>0</v>
      </c>
      <c r="L161" s="653"/>
      <c r="M161" s="717"/>
      <c r="N161" s="717"/>
      <c r="O161" s="677"/>
    </row>
    <row r="162" spans="1:15" x14ac:dyDescent="0.25">
      <c r="A162" s="518">
        <f>IF(F162&lt;&gt;"",1+MAX($A$7:A161),"")</f>
        <v>86</v>
      </c>
      <c r="B162" s="528" t="s">
        <v>878</v>
      </c>
      <c r="C162" s="529"/>
      <c r="D162" s="374"/>
      <c r="E162" s="533" t="s">
        <v>882</v>
      </c>
      <c r="F162" s="534">
        <f>135.62</f>
        <v>135.62</v>
      </c>
      <c r="G162" s="654">
        <v>0.1</v>
      </c>
      <c r="H162" s="655">
        <f>F162*(1+G162)</f>
        <v>149.18200000000002</v>
      </c>
      <c r="I162" s="83" t="s">
        <v>13</v>
      </c>
      <c r="J162" s="656">
        <v>0</v>
      </c>
      <c r="K162" s="709">
        <f>H162*J162</f>
        <v>0</v>
      </c>
      <c r="L162" s="653"/>
      <c r="M162" s="717"/>
      <c r="N162" s="717"/>
      <c r="O162" s="677"/>
    </row>
    <row r="163" spans="1:15" x14ac:dyDescent="0.25">
      <c r="A163" s="518">
        <f>IF(F163&lt;&gt;"",1+MAX($A$7:A162),"")</f>
        <v>87</v>
      </c>
      <c r="B163" s="528" t="s">
        <v>878</v>
      </c>
      <c r="C163" s="529"/>
      <c r="D163" s="374"/>
      <c r="E163" s="533" t="s">
        <v>883</v>
      </c>
      <c r="F163" s="534">
        <f>51.68</f>
        <v>51.68</v>
      </c>
      <c r="G163" s="654">
        <v>0.1</v>
      </c>
      <c r="H163" s="655">
        <f>F163*(1+G163)</f>
        <v>56.848000000000006</v>
      </c>
      <c r="I163" s="83" t="s">
        <v>13</v>
      </c>
      <c r="J163" s="656">
        <v>0</v>
      </c>
      <c r="K163" s="709">
        <f>H163*J163</f>
        <v>0</v>
      </c>
      <c r="L163" s="653"/>
      <c r="M163" s="717"/>
      <c r="N163" s="717"/>
      <c r="O163" s="677"/>
    </row>
    <row r="164" spans="1:15" s="662" customFormat="1" x14ac:dyDescent="0.25">
      <c r="A164" s="518" t="str">
        <f>IF(F164&lt;&gt;"",1+MAX($A$7:A163),"")</f>
        <v/>
      </c>
      <c r="B164" s="366"/>
      <c r="C164" s="529"/>
      <c r="D164" s="530"/>
      <c r="E164" s="533"/>
      <c r="F164" s="535"/>
      <c r="G164" s="659"/>
      <c r="H164" s="660"/>
      <c r="I164" s="83"/>
      <c r="J164" s="658"/>
      <c r="K164" s="712"/>
      <c r="L164" s="653"/>
      <c r="O164" s="677"/>
    </row>
    <row r="165" spans="1:15" x14ac:dyDescent="0.25">
      <c r="A165" s="518" t="str">
        <f>IF(F165&lt;&gt;"",1+MAX($A$7:A164),"")</f>
        <v/>
      </c>
      <c r="B165" s="528"/>
      <c r="C165" s="529"/>
      <c r="D165" s="530"/>
      <c r="E165" s="531" t="s">
        <v>884</v>
      </c>
      <c r="F165" s="532"/>
      <c r="G165" s="651"/>
      <c r="H165" s="651"/>
      <c r="I165" s="76"/>
      <c r="J165" s="651"/>
      <c r="K165" s="709"/>
      <c r="L165" s="653"/>
      <c r="O165" s="677"/>
    </row>
    <row r="166" spans="1:15" x14ac:dyDescent="0.25">
      <c r="A166" s="518">
        <f>IF(F166&lt;&gt;"",1+MAX($A$7:A165),"")</f>
        <v>88</v>
      </c>
      <c r="B166" s="528" t="s">
        <v>878</v>
      </c>
      <c r="C166" s="529"/>
      <c r="D166" s="374"/>
      <c r="E166" s="533" t="s">
        <v>879</v>
      </c>
      <c r="F166" s="534">
        <f>(4*13)+(4*25)</f>
        <v>152</v>
      </c>
      <c r="G166" s="654">
        <v>0.1</v>
      </c>
      <c r="H166" s="655">
        <f>F166*(1+G166)</f>
        <v>167.20000000000002</v>
      </c>
      <c r="I166" s="83" t="s">
        <v>13</v>
      </c>
      <c r="J166" s="658">
        <f>J$159</f>
        <v>0</v>
      </c>
      <c r="K166" s="709">
        <f>H166*J166</f>
        <v>0</v>
      </c>
      <c r="L166" s="653"/>
      <c r="O166" s="677"/>
    </row>
    <row r="167" spans="1:15" x14ac:dyDescent="0.25">
      <c r="A167" s="518">
        <f>IF(F167&lt;&gt;"",1+MAX($A$7:A166),"")</f>
        <v>89</v>
      </c>
      <c r="B167" s="528" t="s">
        <v>878</v>
      </c>
      <c r="C167" s="529"/>
      <c r="D167" s="374"/>
      <c r="E167" s="533" t="s">
        <v>880</v>
      </c>
      <c r="F167" s="534">
        <f>1*16</f>
        <v>16</v>
      </c>
      <c r="G167" s="654">
        <v>0.1</v>
      </c>
      <c r="H167" s="655">
        <f>F167*(1+G167)</f>
        <v>17.600000000000001</v>
      </c>
      <c r="I167" s="83" t="s">
        <v>13</v>
      </c>
      <c r="J167" s="658">
        <f>J$160</f>
        <v>0</v>
      </c>
      <c r="K167" s="709">
        <f>H167*J167</f>
        <v>0</v>
      </c>
      <c r="L167" s="653"/>
      <c r="O167" s="677"/>
    </row>
    <row r="168" spans="1:15" x14ac:dyDescent="0.25">
      <c r="A168" s="518">
        <f>IF(F168&lt;&gt;"",1+MAX($A$7:A167),"")</f>
        <v>90</v>
      </c>
      <c r="B168" s="528" t="s">
        <v>878</v>
      </c>
      <c r="C168" s="529"/>
      <c r="D168" s="374"/>
      <c r="E168" s="533" t="s">
        <v>882</v>
      </c>
      <c r="F168" s="534">
        <f>(4*18)+(1*30)</f>
        <v>102</v>
      </c>
      <c r="G168" s="654">
        <v>0.1</v>
      </c>
      <c r="H168" s="655">
        <f>F168*(1+G168)</f>
        <v>112.2</v>
      </c>
      <c r="I168" s="83" t="s">
        <v>13</v>
      </c>
      <c r="J168" s="658">
        <f>J$162</f>
        <v>0</v>
      </c>
      <c r="K168" s="709">
        <f>H168*J168</f>
        <v>0</v>
      </c>
      <c r="L168" s="653"/>
      <c r="O168" s="677"/>
    </row>
    <row r="169" spans="1:15" x14ac:dyDescent="0.25">
      <c r="A169" s="518">
        <f>IF(F169&lt;&gt;"",1+MAX($A$7:A168),"")</f>
        <v>91</v>
      </c>
      <c r="B169" s="528" t="s">
        <v>878</v>
      </c>
      <c r="C169" s="529"/>
      <c r="D169" s="374"/>
      <c r="E169" s="533" t="s">
        <v>883</v>
      </c>
      <c r="F169" s="534">
        <f>1*30</f>
        <v>30</v>
      </c>
      <c r="G169" s="654">
        <v>0.1</v>
      </c>
      <c r="H169" s="655">
        <f>F169*(1+G169)</f>
        <v>33</v>
      </c>
      <c r="I169" s="83" t="s">
        <v>13</v>
      </c>
      <c r="J169" s="658">
        <f>J$163</f>
        <v>0</v>
      </c>
      <c r="K169" s="709">
        <f>H169*J169</f>
        <v>0</v>
      </c>
      <c r="L169" s="653"/>
      <c r="O169" s="677"/>
    </row>
    <row r="170" spans="1:15" s="662" customFormat="1" x14ac:dyDescent="0.25">
      <c r="A170" s="518" t="str">
        <f>IF(F170&lt;&gt;"",1+MAX($A$7:A169),"")</f>
        <v/>
      </c>
      <c r="B170" s="366"/>
      <c r="C170" s="529"/>
      <c r="D170" s="530"/>
      <c r="E170" s="533"/>
      <c r="F170" s="535"/>
      <c r="G170" s="659"/>
      <c r="H170" s="660"/>
      <c r="I170" s="83"/>
      <c r="J170" s="658"/>
      <c r="K170" s="712"/>
      <c r="L170" s="653"/>
    </row>
    <row r="171" spans="1:15" x14ac:dyDescent="0.25">
      <c r="A171" s="518" t="str">
        <f>IF(F171&lt;&gt;"",1+MAX($A$7:A170),"")</f>
        <v/>
      </c>
      <c r="B171" s="528"/>
      <c r="C171" s="529"/>
      <c r="D171" s="530"/>
      <c r="E171" s="531" t="s">
        <v>885</v>
      </c>
      <c r="F171" s="532"/>
      <c r="G171" s="651"/>
      <c r="H171" s="651"/>
      <c r="I171" s="76"/>
      <c r="J171" s="651"/>
      <c r="K171" s="709"/>
      <c r="L171" s="653"/>
    </row>
    <row r="172" spans="1:15" x14ac:dyDescent="0.25">
      <c r="A172" s="518">
        <f>IF(F172&lt;&gt;"",1+MAX($A$7:A171),"")</f>
        <v>92</v>
      </c>
      <c r="B172" s="528" t="s">
        <v>878</v>
      </c>
      <c r="C172" s="529"/>
      <c r="D172" s="374"/>
      <c r="E172" s="533" t="s">
        <v>886</v>
      </c>
      <c r="F172" s="534">
        <v>8</v>
      </c>
      <c r="G172" s="654">
        <v>0</v>
      </c>
      <c r="H172" s="655">
        <f>F172*(1+G172)</f>
        <v>8</v>
      </c>
      <c r="I172" s="83" t="s">
        <v>18</v>
      </c>
      <c r="J172" s="656">
        <v>0</v>
      </c>
      <c r="K172" s="709">
        <f>H172*J172</f>
        <v>0</v>
      </c>
      <c r="L172" s="653"/>
    </row>
    <row r="173" spans="1:15" x14ac:dyDescent="0.25">
      <c r="A173" s="518">
        <f>IF(F173&lt;&gt;"",1+MAX($A$7:A172),"")</f>
        <v>93</v>
      </c>
      <c r="B173" s="528" t="s">
        <v>878</v>
      </c>
      <c r="C173" s="529"/>
      <c r="D173" s="374"/>
      <c r="E173" s="533" t="s">
        <v>887</v>
      </c>
      <c r="F173" s="534">
        <v>8</v>
      </c>
      <c r="G173" s="654">
        <v>0</v>
      </c>
      <c r="H173" s="655">
        <f>F173*(1+G173)</f>
        <v>8</v>
      </c>
      <c r="I173" s="83" t="s">
        <v>18</v>
      </c>
      <c r="J173" s="656">
        <v>0</v>
      </c>
      <c r="K173" s="709">
        <f>H173*J173</f>
        <v>0</v>
      </c>
      <c r="L173" s="653"/>
    </row>
    <row r="174" spans="1:15" s="662" customFormat="1" x14ac:dyDescent="0.25">
      <c r="A174" s="518" t="str">
        <f>IF(F174&lt;&gt;"",1+MAX($A$7:A173),"")</f>
        <v/>
      </c>
      <c r="B174" s="366"/>
      <c r="C174" s="529"/>
      <c r="D174" s="530"/>
      <c r="E174" s="533"/>
      <c r="F174" s="535"/>
      <c r="G174" s="659"/>
      <c r="H174" s="660"/>
      <c r="I174" s="83"/>
      <c r="J174" s="658"/>
      <c r="K174" s="712"/>
      <c r="L174" s="653"/>
    </row>
    <row r="175" spans="1:15" x14ac:dyDescent="0.25">
      <c r="A175" s="518" t="str">
        <f>IF(F175&lt;&gt;"",1+MAX($A$7:A174),"")</f>
        <v/>
      </c>
      <c r="B175" s="528"/>
      <c r="C175" s="529"/>
      <c r="D175" s="530"/>
      <c r="E175" s="531" t="s">
        <v>888</v>
      </c>
      <c r="F175" s="532"/>
      <c r="G175" s="651"/>
      <c r="H175" s="651"/>
      <c r="I175" s="76"/>
      <c r="J175" s="651"/>
      <c r="K175" s="709"/>
      <c r="L175" s="653"/>
    </row>
    <row r="176" spans="1:15" x14ac:dyDescent="0.25">
      <c r="A176" s="518">
        <f>IF(F176&lt;&gt;"",1+MAX($A$7:A175),"")</f>
        <v>94</v>
      </c>
      <c r="B176" s="528" t="s">
        <v>878</v>
      </c>
      <c r="C176" s="529"/>
      <c r="D176" s="374"/>
      <c r="E176" s="533" t="s">
        <v>889</v>
      </c>
      <c r="F176" s="534">
        <v>1</v>
      </c>
      <c r="G176" s="654">
        <v>0</v>
      </c>
      <c r="H176" s="655">
        <f>F176*(1+G176)</f>
        <v>1</v>
      </c>
      <c r="I176" s="83" t="s">
        <v>18</v>
      </c>
      <c r="J176" s="656">
        <v>0</v>
      </c>
      <c r="K176" s="709">
        <f>H176*J176</f>
        <v>0</v>
      </c>
      <c r="L176" s="653"/>
    </row>
    <row r="177" spans="1:12" s="662" customFormat="1" x14ac:dyDescent="0.25">
      <c r="A177" s="518" t="str">
        <f>IF(F177&lt;&gt;"",1+MAX($A$7:A176),"")</f>
        <v/>
      </c>
      <c r="B177" s="366"/>
      <c r="C177" s="529"/>
      <c r="D177" s="530"/>
      <c r="E177" s="533"/>
      <c r="F177" s="535"/>
      <c r="G177" s="659"/>
      <c r="H177" s="660"/>
      <c r="I177" s="83"/>
      <c r="J177" s="658"/>
      <c r="K177" s="712"/>
      <c r="L177" s="653"/>
    </row>
    <row r="178" spans="1:12" x14ac:dyDescent="0.25">
      <c r="A178" s="518" t="str">
        <f>IF(F178&lt;&gt;"",1+MAX($A$7:A177),"")</f>
        <v/>
      </c>
      <c r="B178" s="528"/>
      <c r="C178" s="529"/>
      <c r="D178" s="530"/>
      <c r="E178" s="531" t="s">
        <v>769</v>
      </c>
      <c r="F178" s="532"/>
      <c r="G178" s="651"/>
      <c r="H178" s="651"/>
      <c r="I178" s="76"/>
      <c r="J178" s="651"/>
      <c r="K178" s="709"/>
      <c r="L178" s="653"/>
    </row>
    <row r="179" spans="1:12" x14ac:dyDescent="0.25">
      <c r="A179" s="518">
        <f>IF(F179&lt;&gt;"",1+MAX($A$7:A178),"")</f>
        <v>95</v>
      </c>
      <c r="B179" s="528" t="s">
        <v>878</v>
      </c>
      <c r="C179" s="529"/>
      <c r="D179" s="374"/>
      <c r="E179" s="533" t="s">
        <v>890</v>
      </c>
      <c r="F179" s="534">
        <v>21</v>
      </c>
      <c r="G179" s="654">
        <v>0</v>
      </c>
      <c r="H179" s="655">
        <f t="shared" ref="H179:H202" si="49">F179*(1+G179)</f>
        <v>21</v>
      </c>
      <c r="I179" s="83" t="s">
        <v>18</v>
      </c>
      <c r="J179" s="656">
        <v>0</v>
      </c>
      <c r="K179" s="709">
        <f t="shared" ref="K179:K202" si="50">H179*J179</f>
        <v>0</v>
      </c>
      <c r="L179" s="653"/>
    </row>
    <row r="180" spans="1:12" x14ac:dyDescent="0.25">
      <c r="A180" s="518">
        <f>IF(F180&lt;&gt;"",1+MAX($A$7:A179),"")</f>
        <v>96</v>
      </c>
      <c r="B180" s="528" t="s">
        <v>878</v>
      </c>
      <c r="C180" s="529"/>
      <c r="D180" s="374"/>
      <c r="E180" s="533" t="s">
        <v>891</v>
      </c>
      <c r="F180" s="534">
        <v>2</v>
      </c>
      <c r="G180" s="654">
        <v>0</v>
      </c>
      <c r="H180" s="655">
        <f t="shared" si="49"/>
        <v>2</v>
      </c>
      <c r="I180" s="83" t="s">
        <v>18</v>
      </c>
      <c r="J180" s="656">
        <v>0</v>
      </c>
      <c r="K180" s="709">
        <f t="shared" si="50"/>
        <v>0</v>
      </c>
      <c r="L180" s="653"/>
    </row>
    <row r="181" spans="1:12" x14ac:dyDescent="0.25">
      <c r="A181" s="518">
        <f>IF(F181&lt;&gt;"",1+MAX($A$7:A180),"")</f>
        <v>97</v>
      </c>
      <c r="B181" s="528" t="s">
        <v>878</v>
      </c>
      <c r="C181" s="529"/>
      <c r="D181" s="374"/>
      <c r="E181" s="533" t="s">
        <v>892</v>
      </c>
      <c r="F181" s="534">
        <v>1</v>
      </c>
      <c r="G181" s="654">
        <v>0</v>
      </c>
      <c r="H181" s="655">
        <f t="shared" si="49"/>
        <v>1</v>
      </c>
      <c r="I181" s="83" t="s">
        <v>18</v>
      </c>
      <c r="J181" s="658">
        <f t="shared" ref="J181:J182" si="51">J$180</f>
        <v>0</v>
      </c>
      <c r="K181" s="709">
        <f t="shared" si="50"/>
        <v>0</v>
      </c>
      <c r="L181" s="653"/>
    </row>
    <row r="182" spans="1:12" x14ac:dyDescent="0.25">
      <c r="A182" s="518">
        <f>IF(F182&lt;&gt;"",1+MAX($A$7:A181),"")</f>
        <v>98</v>
      </c>
      <c r="B182" s="528" t="s">
        <v>878</v>
      </c>
      <c r="C182" s="529"/>
      <c r="D182" s="374"/>
      <c r="E182" s="533" t="s">
        <v>893</v>
      </c>
      <c r="F182" s="534">
        <v>8</v>
      </c>
      <c r="G182" s="654">
        <v>0</v>
      </c>
      <c r="H182" s="655">
        <f t="shared" si="49"/>
        <v>8</v>
      </c>
      <c r="I182" s="83" t="s">
        <v>18</v>
      </c>
      <c r="J182" s="658">
        <f t="shared" si="51"/>
        <v>0</v>
      </c>
      <c r="K182" s="709">
        <f t="shared" si="50"/>
        <v>0</v>
      </c>
      <c r="L182" s="653"/>
    </row>
    <row r="183" spans="1:12" ht="31.5" x14ac:dyDescent="0.25">
      <c r="A183" s="518">
        <f>IF(F183&lt;&gt;"",1+MAX($A$7:A182),"")</f>
        <v>99</v>
      </c>
      <c r="B183" s="528" t="s">
        <v>878</v>
      </c>
      <c r="C183" s="529"/>
      <c r="D183" s="374"/>
      <c r="E183" s="533" t="s">
        <v>894</v>
      </c>
      <c r="F183" s="534">
        <v>1</v>
      </c>
      <c r="G183" s="654">
        <v>0</v>
      </c>
      <c r="H183" s="655">
        <f t="shared" si="49"/>
        <v>1</v>
      </c>
      <c r="I183" s="83" t="s">
        <v>18</v>
      </c>
      <c r="J183" s="656">
        <v>0</v>
      </c>
      <c r="K183" s="709">
        <f t="shared" si="50"/>
        <v>0</v>
      </c>
      <c r="L183" s="653"/>
    </row>
    <row r="184" spans="1:12" ht="31.5" x14ac:dyDescent="0.25">
      <c r="A184" s="518">
        <f>IF(F184&lt;&gt;"",1+MAX($A$7:A183),"")</f>
        <v>100</v>
      </c>
      <c r="B184" s="528" t="s">
        <v>878</v>
      </c>
      <c r="C184" s="529"/>
      <c r="D184" s="374"/>
      <c r="E184" s="533" t="s">
        <v>895</v>
      </c>
      <c r="F184" s="534">
        <v>1</v>
      </c>
      <c r="G184" s="654">
        <v>0</v>
      </c>
      <c r="H184" s="655">
        <f t="shared" si="49"/>
        <v>1</v>
      </c>
      <c r="I184" s="83" t="s">
        <v>18</v>
      </c>
      <c r="J184" s="656">
        <v>0</v>
      </c>
      <c r="K184" s="709">
        <f t="shared" si="50"/>
        <v>0</v>
      </c>
      <c r="L184" s="653"/>
    </row>
    <row r="185" spans="1:12" ht="47.25" x14ac:dyDescent="0.25">
      <c r="A185" s="518">
        <f>IF(F185&lt;&gt;"",1+MAX($A$7:A184),"")</f>
        <v>101</v>
      </c>
      <c r="B185" s="528" t="s">
        <v>878</v>
      </c>
      <c r="C185" s="266" t="s">
        <v>896</v>
      </c>
      <c r="D185" s="374"/>
      <c r="E185" s="533" t="s">
        <v>897</v>
      </c>
      <c r="F185" s="534">
        <v>12</v>
      </c>
      <c r="G185" s="654">
        <v>0</v>
      </c>
      <c r="H185" s="655">
        <f t="shared" si="49"/>
        <v>12</v>
      </c>
      <c r="I185" s="83" t="s">
        <v>18</v>
      </c>
      <c r="J185" s="656">
        <v>0</v>
      </c>
      <c r="K185" s="709">
        <f t="shared" si="50"/>
        <v>0</v>
      </c>
      <c r="L185" s="653"/>
    </row>
    <row r="186" spans="1:12" ht="47.25" x14ac:dyDescent="0.25">
      <c r="A186" s="518">
        <f>IF(F186&lt;&gt;"",1+MAX($A$7:A185),"")</f>
        <v>102</v>
      </c>
      <c r="B186" s="528" t="s">
        <v>878</v>
      </c>
      <c r="C186" s="266" t="s">
        <v>896</v>
      </c>
      <c r="D186" s="374"/>
      <c r="E186" s="533" t="s">
        <v>898</v>
      </c>
      <c r="F186" s="534">
        <v>8</v>
      </c>
      <c r="G186" s="654">
        <v>0</v>
      </c>
      <c r="H186" s="655">
        <f t="shared" si="49"/>
        <v>8</v>
      </c>
      <c r="I186" s="83" t="s">
        <v>18</v>
      </c>
      <c r="J186" s="656">
        <v>0</v>
      </c>
      <c r="K186" s="709">
        <f t="shared" si="50"/>
        <v>0</v>
      </c>
      <c r="L186" s="653"/>
    </row>
    <row r="187" spans="1:12" ht="31.5" x14ac:dyDescent="0.25">
      <c r="A187" s="518">
        <f>IF(F187&lt;&gt;"",1+MAX($A$7:A186),"")</f>
        <v>103</v>
      </c>
      <c r="B187" s="528" t="s">
        <v>878</v>
      </c>
      <c r="C187" s="266" t="s">
        <v>896</v>
      </c>
      <c r="D187" s="374"/>
      <c r="E187" s="533" t="s">
        <v>899</v>
      </c>
      <c r="F187" s="534">
        <v>2</v>
      </c>
      <c r="G187" s="654">
        <v>0</v>
      </c>
      <c r="H187" s="655">
        <f t="shared" si="49"/>
        <v>2</v>
      </c>
      <c r="I187" s="83" t="s">
        <v>18</v>
      </c>
      <c r="J187" s="656">
        <v>0</v>
      </c>
      <c r="K187" s="709">
        <f t="shared" si="50"/>
        <v>0</v>
      </c>
      <c r="L187" s="653"/>
    </row>
    <row r="188" spans="1:12" ht="31.5" x14ac:dyDescent="0.25">
      <c r="A188" s="518">
        <f>IF(F188&lt;&gt;"",1+MAX($A$7:A187),"")</f>
        <v>104</v>
      </c>
      <c r="B188" s="528" t="s">
        <v>878</v>
      </c>
      <c r="C188" s="266" t="s">
        <v>896</v>
      </c>
      <c r="D188" s="374"/>
      <c r="E188" s="533" t="s">
        <v>900</v>
      </c>
      <c r="F188" s="534">
        <v>2</v>
      </c>
      <c r="G188" s="654">
        <v>0</v>
      </c>
      <c r="H188" s="655">
        <f t="shared" si="49"/>
        <v>2</v>
      </c>
      <c r="I188" s="83" t="s">
        <v>18</v>
      </c>
      <c r="J188" s="656">
        <v>0</v>
      </c>
      <c r="K188" s="709">
        <f t="shared" si="50"/>
        <v>0</v>
      </c>
      <c r="L188" s="653"/>
    </row>
    <row r="189" spans="1:12" ht="47.25" x14ac:dyDescent="0.25">
      <c r="A189" s="518">
        <f>IF(F189&lt;&gt;"",1+MAX($A$7:A188),"")</f>
        <v>105</v>
      </c>
      <c r="B189" s="528" t="s">
        <v>878</v>
      </c>
      <c r="C189" s="266" t="s">
        <v>896</v>
      </c>
      <c r="D189" s="374"/>
      <c r="E189" s="533" t="s">
        <v>901</v>
      </c>
      <c r="F189" s="534">
        <v>1</v>
      </c>
      <c r="G189" s="654">
        <v>0</v>
      </c>
      <c r="H189" s="655">
        <f t="shared" si="49"/>
        <v>1</v>
      </c>
      <c r="I189" s="83" t="s">
        <v>18</v>
      </c>
      <c r="J189" s="656">
        <v>0</v>
      </c>
      <c r="K189" s="709">
        <f t="shared" si="50"/>
        <v>0</v>
      </c>
      <c r="L189" s="653"/>
    </row>
    <row r="190" spans="1:12" ht="47.25" x14ac:dyDescent="0.25">
      <c r="A190" s="518">
        <f>IF(F190&lt;&gt;"",1+MAX($A$7:A189),"")</f>
        <v>106</v>
      </c>
      <c r="B190" s="528" t="s">
        <v>878</v>
      </c>
      <c r="C190" s="266" t="s">
        <v>896</v>
      </c>
      <c r="D190" s="374"/>
      <c r="E190" s="533" t="s">
        <v>902</v>
      </c>
      <c r="F190" s="534">
        <v>20</v>
      </c>
      <c r="G190" s="654">
        <v>0</v>
      </c>
      <c r="H190" s="655">
        <f t="shared" si="49"/>
        <v>20</v>
      </c>
      <c r="I190" s="83" t="s">
        <v>18</v>
      </c>
      <c r="J190" s="656">
        <v>0</v>
      </c>
      <c r="K190" s="709">
        <f t="shared" si="50"/>
        <v>0</v>
      </c>
      <c r="L190" s="653"/>
    </row>
    <row r="191" spans="1:12" ht="47.25" x14ac:dyDescent="0.25">
      <c r="A191" s="518">
        <f>IF(F191&lt;&gt;"",1+MAX($A$7:A190),"")</f>
        <v>107</v>
      </c>
      <c r="B191" s="528" t="s">
        <v>878</v>
      </c>
      <c r="C191" s="266" t="s">
        <v>896</v>
      </c>
      <c r="D191" s="374"/>
      <c r="E191" s="533" t="s">
        <v>903</v>
      </c>
      <c r="F191" s="534">
        <v>3</v>
      </c>
      <c r="G191" s="654">
        <v>0</v>
      </c>
      <c r="H191" s="655">
        <f t="shared" si="49"/>
        <v>3</v>
      </c>
      <c r="I191" s="83" t="s">
        <v>18</v>
      </c>
      <c r="J191" s="656">
        <v>0</v>
      </c>
      <c r="K191" s="709">
        <f t="shared" si="50"/>
        <v>0</v>
      </c>
      <c r="L191" s="653"/>
    </row>
    <row r="192" spans="1:12" ht="63" x14ac:dyDescent="0.25">
      <c r="A192" s="518">
        <f>IF(F192&lt;&gt;"",1+MAX($A$7:A191),"")</f>
        <v>108</v>
      </c>
      <c r="B192" s="528" t="s">
        <v>878</v>
      </c>
      <c r="C192" s="266" t="s">
        <v>896</v>
      </c>
      <c r="D192" s="374"/>
      <c r="E192" s="533" t="s">
        <v>904</v>
      </c>
      <c r="F192" s="534">
        <v>12</v>
      </c>
      <c r="G192" s="654">
        <v>0</v>
      </c>
      <c r="H192" s="655">
        <f t="shared" si="49"/>
        <v>12</v>
      </c>
      <c r="I192" s="83" t="s">
        <v>18</v>
      </c>
      <c r="J192" s="656">
        <v>0</v>
      </c>
      <c r="K192" s="709">
        <f t="shared" si="50"/>
        <v>0</v>
      </c>
      <c r="L192" s="653"/>
    </row>
    <row r="193" spans="1:14" ht="47.25" x14ac:dyDescent="0.25">
      <c r="A193" s="518">
        <f>IF(F193&lt;&gt;"",1+MAX($A$7:A192),"")</f>
        <v>109</v>
      </c>
      <c r="B193" s="528" t="s">
        <v>878</v>
      </c>
      <c r="C193" s="266" t="s">
        <v>896</v>
      </c>
      <c r="D193" s="374"/>
      <c r="E193" s="533" t="s">
        <v>905</v>
      </c>
      <c r="F193" s="534">
        <v>1</v>
      </c>
      <c r="G193" s="654">
        <v>0</v>
      </c>
      <c r="H193" s="655">
        <f t="shared" si="49"/>
        <v>1</v>
      </c>
      <c r="I193" s="83" t="s">
        <v>18</v>
      </c>
      <c r="J193" s="656">
        <v>0</v>
      </c>
      <c r="K193" s="709">
        <f t="shared" si="50"/>
        <v>0</v>
      </c>
      <c r="L193" s="653"/>
    </row>
    <row r="194" spans="1:14" ht="47.25" x14ac:dyDescent="0.25">
      <c r="A194" s="518">
        <f>IF(F194&lt;&gt;"",1+MAX($A$7:A193),"")</f>
        <v>110</v>
      </c>
      <c r="B194" s="528" t="s">
        <v>878</v>
      </c>
      <c r="C194" s="266" t="s">
        <v>896</v>
      </c>
      <c r="D194" s="374"/>
      <c r="E194" s="533" t="s">
        <v>906</v>
      </c>
      <c r="F194" s="534">
        <v>1</v>
      </c>
      <c r="G194" s="654">
        <v>0</v>
      </c>
      <c r="H194" s="655">
        <f t="shared" si="49"/>
        <v>1</v>
      </c>
      <c r="I194" s="83" t="s">
        <v>18</v>
      </c>
      <c r="J194" s="656">
        <v>0</v>
      </c>
      <c r="K194" s="709">
        <f t="shared" si="50"/>
        <v>0</v>
      </c>
      <c r="L194" s="653"/>
    </row>
    <row r="195" spans="1:14" ht="47.25" x14ac:dyDescent="0.25">
      <c r="A195" s="518">
        <f>IF(F195&lt;&gt;"",1+MAX($A$7:A194),"")</f>
        <v>111</v>
      </c>
      <c r="B195" s="528" t="s">
        <v>878</v>
      </c>
      <c r="C195" s="266" t="s">
        <v>896</v>
      </c>
      <c r="D195" s="374"/>
      <c r="E195" s="533" t="s">
        <v>907</v>
      </c>
      <c r="F195" s="534">
        <v>1</v>
      </c>
      <c r="G195" s="654">
        <v>0</v>
      </c>
      <c r="H195" s="655">
        <f t="shared" si="49"/>
        <v>1</v>
      </c>
      <c r="I195" s="83" t="s">
        <v>18</v>
      </c>
      <c r="J195" s="656">
        <v>0</v>
      </c>
      <c r="K195" s="709">
        <f t="shared" si="50"/>
        <v>0</v>
      </c>
      <c r="L195" s="653"/>
    </row>
    <row r="196" spans="1:14" ht="47.25" x14ac:dyDescent="0.25">
      <c r="A196" s="518">
        <f>IF(F196&lt;&gt;"",1+MAX($A$7:A195),"")</f>
        <v>112</v>
      </c>
      <c r="B196" s="528" t="s">
        <v>878</v>
      </c>
      <c r="C196" s="266" t="s">
        <v>896</v>
      </c>
      <c r="D196" s="374"/>
      <c r="E196" s="533" t="s">
        <v>908</v>
      </c>
      <c r="F196" s="534">
        <v>18</v>
      </c>
      <c r="G196" s="654">
        <v>0</v>
      </c>
      <c r="H196" s="655">
        <f t="shared" si="49"/>
        <v>18</v>
      </c>
      <c r="I196" s="83" t="s">
        <v>18</v>
      </c>
      <c r="J196" s="656">
        <v>0</v>
      </c>
      <c r="K196" s="709">
        <f t="shared" si="50"/>
        <v>0</v>
      </c>
      <c r="L196" s="653"/>
    </row>
    <row r="197" spans="1:14" ht="47.25" x14ac:dyDescent="0.25">
      <c r="A197" s="518">
        <f>IF(F197&lt;&gt;"",1+MAX($A$7:A196),"")</f>
        <v>113</v>
      </c>
      <c r="B197" s="528" t="s">
        <v>878</v>
      </c>
      <c r="C197" s="266" t="s">
        <v>896</v>
      </c>
      <c r="D197" s="374"/>
      <c r="E197" s="533" t="s">
        <v>909</v>
      </c>
      <c r="F197" s="534">
        <v>2</v>
      </c>
      <c r="G197" s="654">
        <v>0</v>
      </c>
      <c r="H197" s="655">
        <f t="shared" si="49"/>
        <v>2</v>
      </c>
      <c r="I197" s="83" t="s">
        <v>18</v>
      </c>
      <c r="J197" s="716">
        <f t="shared" ref="J197:J199" si="52">J$196</f>
        <v>0</v>
      </c>
      <c r="K197" s="709">
        <f t="shared" si="50"/>
        <v>0</v>
      </c>
      <c r="L197" s="653"/>
    </row>
    <row r="198" spans="1:14" ht="47.25" x14ac:dyDescent="0.25">
      <c r="A198" s="518">
        <f>IF(F198&lt;&gt;"",1+MAX($A$7:A197),"")</f>
        <v>114</v>
      </c>
      <c r="B198" s="528" t="s">
        <v>878</v>
      </c>
      <c r="C198" s="266" t="s">
        <v>896</v>
      </c>
      <c r="D198" s="374"/>
      <c r="E198" s="533" t="s">
        <v>910</v>
      </c>
      <c r="F198" s="534">
        <v>8</v>
      </c>
      <c r="G198" s="654">
        <v>0</v>
      </c>
      <c r="H198" s="655">
        <f t="shared" si="49"/>
        <v>8</v>
      </c>
      <c r="I198" s="83" t="s">
        <v>18</v>
      </c>
      <c r="J198" s="716">
        <f t="shared" si="52"/>
        <v>0</v>
      </c>
      <c r="K198" s="709">
        <f t="shared" si="50"/>
        <v>0</v>
      </c>
      <c r="L198" s="653"/>
    </row>
    <row r="199" spans="1:14" ht="47.25" x14ac:dyDescent="0.25">
      <c r="A199" s="518">
        <f>IF(F199&lt;&gt;"",1+MAX($A$7:A198),"")</f>
        <v>115</v>
      </c>
      <c r="B199" s="528" t="s">
        <v>878</v>
      </c>
      <c r="C199" s="266" t="s">
        <v>896</v>
      </c>
      <c r="D199" s="374"/>
      <c r="E199" s="533" t="s">
        <v>911</v>
      </c>
      <c r="F199" s="534">
        <v>1</v>
      </c>
      <c r="G199" s="654">
        <v>0</v>
      </c>
      <c r="H199" s="655">
        <f t="shared" si="49"/>
        <v>1</v>
      </c>
      <c r="I199" s="83" t="s">
        <v>18</v>
      </c>
      <c r="J199" s="716">
        <f t="shared" si="52"/>
        <v>0</v>
      </c>
      <c r="K199" s="709">
        <f t="shared" si="50"/>
        <v>0</v>
      </c>
      <c r="L199" s="653"/>
    </row>
    <row r="200" spans="1:14" ht="47.25" x14ac:dyDescent="0.25">
      <c r="A200" s="518">
        <f>IF(F200&lt;&gt;"",1+MAX($A$7:A199),"")</f>
        <v>116</v>
      </c>
      <c r="B200" s="528" t="s">
        <v>878</v>
      </c>
      <c r="C200" s="266" t="s">
        <v>896</v>
      </c>
      <c r="D200" s="374"/>
      <c r="E200" s="533" t="s">
        <v>912</v>
      </c>
      <c r="F200" s="534">
        <v>4</v>
      </c>
      <c r="G200" s="654">
        <v>0</v>
      </c>
      <c r="H200" s="655">
        <f t="shared" si="49"/>
        <v>4</v>
      </c>
      <c r="I200" s="83" t="s">
        <v>18</v>
      </c>
      <c r="J200" s="656">
        <v>0</v>
      </c>
      <c r="K200" s="709">
        <f t="shared" si="50"/>
        <v>0</v>
      </c>
      <c r="L200" s="653"/>
    </row>
    <row r="201" spans="1:14" ht="47.25" x14ac:dyDescent="0.25">
      <c r="A201" s="518">
        <f>IF(F201&lt;&gt;"",1+MAX($A$7:A200),"")</f>
        <v>117</v>
      </c>
      <c r="B201" s="528" t="s">
        <v>878</v>
      </c>
      <c r="C201" s="266" t="s">
        <v>896</v>
      </c>
      <c r="D201" s="374"/>
      <c r="E201" s="533" t="s">
        <v>913</v>
      </c>
      <c r="F201" s="534">
        <v>4</v>
      </c>
      <c r="G201" s="654">
        <v>0</v>
      </c>
      <c r="H201" s="655">
        <f t="shared" si="49"/>
        <v>4</v>
      </c>
      <c r="I201" s="83" t="s">
        <v>18</v>
      </c>
      <c r="J201" s="716">
        <f t="shared" ref="J201:J202" si="53">J$200</f>
        <v>0</v>
      </c>
      <c r="K201" s="709">
        <f t="shared" si="50"/>
        <v>0</v>
      </c>
      <c r="L201" s="653"/>
    </row>
    <row r="202" spans="1:14" ht="47.25" x14ac:dyDescent="0.25">
      <c r="A202" s="518">
        <f>IF(F202&lt;&gt;"",1+MAX($A$7:A201),"")</f>
        <v>118</v>
      </c>
      <c r="B202" s="528" t="s">
        <v>878</v>
      </c>
      <c r="C202" s="266" t="s">
        <v>896</v>
      </c>
      <c r="D202" s="374"/>
      <c r="E202" s="533" t="s">
        <v>914</v>
      </c>
      <c r="F202" s="534">
        <v>1</v>
      </c>
      <c r="G202" s="654">
        <v>0</v>
      </c>
      <c r="H202" s="655">
        <f t="shared" si="49"/>
        <v>1</v>
      </c>
      <c r="I202" s="83" t="s">
        <v>18</v>
      </c>
      <c r="J202" s="716">
        <f t="shared" si="53"/>
        <v>0</v>
      </c>
      <c r="K202" s="709">
        <f t="shared" si="50"/>
        <v>0</v>
      </c>
      <c r="L202" s="653"/>
    </row>
    <row r="203" spans="1:14" ht="16.5" thickBot="1" x14ac:dyDescent="0.3">
      <c r="A203" s="518" t="str">
        <f>IF(F203&lt;&gt;"",1+MAX($A$7:A202),"")</f>
        <v/>
      </c>
      <c r="B203" s="83"/>
      <c r="C203" s="520"/>
      <c r="D203" s="379"/>
      <c r="E203" s="536"/>
      <c r="F203" s="537"/>
      <c r="G203" s="651"/>
      <c r="H203" s="651"/>
      <c r="I203" s="221"/>
      <c r="J203" s="651"/>
      <c r="K203" s="709"/>
      <c r="L203" s="653"/>
    </row>
    <row r="204" spans="1:14" s="650" customFormat="1" ht="16.5" customHeight="1" thickBot="1" x14ac:dyDescent="0.25">
      <c r="A204" s="518" t="str">
        <f>IF(F204&lt;&gt;"",1+MAX($A$7:A203),"")</f>
        <v/>
      </c>
      <c r="B204" s="266"/>
      <c r="C204" s="520"/>
      <c r="D204" s="497"/>
      <c r="E204" s="521" t="s">
        <v>915</v>
      </c>
      <c r="F204" s="522"/>
      <c r="G204" s="523"/>
      <c r="H204" s="524"/>
      <c r="I204" s="221"/>
      <c r="J204" s="525"/>
      <c r="K204" s="526"/>
      <c r="L204" s="527"/>
    </row>
    <row r="205" spans="1:14" x14ac:dyDescent="0.25">
      <c r="A205" s="518">
        <f>IF(F205&lt;&gt;"",1+MAX($A$7:A204),"")</f>
        <v>119</v>
      </c>
      <c r="B205" s="528" t="s">
        <v>878</v>
      </c>
      <c r="C205" s="538"/>
      <c r="D205" s="539"/>
      <c r="E205" s="540" t="s">
        <v>916</v>
      </c>
      <c r="F205" s="541">
        <f>279.14</f>
        <v>279.14</v>
      </c>
      <c r="G205" s="654">
        <v>0.1</v>
      </c>
      <c r="H205" s="655">
        <f t="shared" ref="H205" si="54">F205*(1+G205)</f>
        <v>307.05400000000003</v>
      </c>
      <c r="I205" s="83" t="s">
        <v>13</v>
      </c>
      <c r="J205" s="656">
        <v>0</v>
      </c>
      <c r="K205" s="709">
        <f>H205*J205</f>
        <v>0</v>
      </c>
      <c r="L205" s="653"/>
      <c r="M205" s="717"/>
      <c r="N205" s="717"/>
    </row>
    <row r="206" spans="1:14" x14ac:dyDescent="0.25">
      <c r="A206" s="518" t="str">
        <f>IF(F206&lt;&gt;"",1+MAX($A$7:A205),"")</f>
        <v/>
      </c>
      <c r="B206" s="83"/>
      <c r="C206" s="520"/>
      <c r="D206" s="379"/>
      <c r="E206" s="542"/>
      <c r="F206" s="570"/>
      <c r="G206" s="659"/>
      <c r="H206" s="660"/>
      <c r="I206" s="83"/>
      <c r="J206" s="658"/>
      <c r="K206" s="712"/>
      <c r="L206" s="653"/>
    </row>
    <row r="207" spans="1:14" x14ac:dyDescent="0.25">
      <c r="A207" s="518">
        <f>IF(F207&lt;&gt;"",1+MAX($A$7:A206),"")</f>
        <v>120</v>
      </c>
      <c r="B207" s="528" t="s">
        <v>878</v>
      </c>
      <c r="C207" s="538"/>
      <c r="D207" s="539"/>
      <c r="E207" s="540" t="s">
        <v>917</v>
      </c>
      <c r="F207" s="571">
        <f>(2*12)+(11*30)</f>
        <v>354</v>
      </c>
      <c r="G207" s="654">
        <v>0.1</v>
      </c>
      <c r="H207" s="655">
        <f t="shared" ref="H207" si="55">F207*(1+G207)</f>
        <v>389.40000000000003</v>
      </c>
      <c r="I207" s="83" t="s">
        <v>13</v>
      </c>
      <c r="J207" s="658">
        <f>J$205</f>
        <v>0</v>
      </c>
      <c r="K207" s="709">
        <f>H207*J207</f>
        <v>0</v>
      </c>
      <c r="L207" s="653"/>
    </row>
    <row r="208" spans="1:14" ht="16.5" thickBot="1" x14ac:dyDescent="0.3">
      <c r="A208" s="518" t="str">
        <f>IF(F208&lt;&gt;"",1+MAX($A$7:A207),"")</f>
        <v/>
      </c>
      <c r="B208" s="83"/>
      <c r="C208" s="520"/>
      <c r="D208" s="379"/>
      <c r="E208" s="536"/>
      <c r="F208" s="537"/>
      <c r="G208" s="651"/>
      <c r="H208" s="651"/>
      <c r="I208" s="221"/>
      <c r="J208" s="651"/>
      <c r="K208" s="709"/>
      <c r="L208" s="653"/>
    </row>
    <row r="209" spans="1:13" s="650" customFormat="1" ht="16.5" customHeight="1" thickBot="1" x14ac:dyDescent="0.25">
      <c r="A209" s="518" t="str">
        <f>IF(F209&lt;&gt;"",1+MAX($A$7:A208),"")</f>
        <v/>
      </c>
      <c r="B209" s="266"/>
      <c r="C209" s="520"/>
      <c r="D209" s="497"/>
      <c r="E209" s="521" t="s">
        <v>918</v>
      </c>
      <c r="F209" s="522"/>
      <c r="G209" s="523"/>
      <c r="H209" s="524"/>
      <c r="I209" s="221"/>
      <c r="J209" s="525"/>
      <c r="K209" s="526"/>
      <c r="L209" s="527"/>
    </row>
    <row r="210" spans="1:13" x14ac:dyDescent="0.25">
      <c r="A210" s="518">
        <f>IF(F210&lt;&gt;"",1+MAX($A$7:A209),"")</f>
        <v>121</v>
      </c>
      <c r="B210" s="528" t="s">
        <v>878</v>
      </c>
      <c r="C210" s="538"/>
      <c r="D210" s="539"/>
      <c r="E210" s="540" t="s">
        <v>919</v>
      </c>
      <c r="F210" s="541">
        <v>1678</v>
      </c>
      <c r="G210" s="654">
        <v>0.1</v>
      </c>
      <c r="H210" s="655">
        <f t="shared" ref="H210:H211" si="56">F210*(1+G210)</f>
        <v>1845.8000000000002</v>
      </c>
      <c r="I210" s="83" t="s">
        <v>16</v>
      </c>
      <c r="J210" s="656">
        <v>0</v>
      </c>
      <c r="K210" s="709">
        <f>H210*J210</f>
        <v>0</v>
      </c>
      <c r="L210" s="653"/>
    </row>
    <row r="211" spans="1:13" x14ac:dyDescent="0.25">
      <c r="A211" s="518">
        <f>IF(F211&lt;&gt;"",1+MAX($A$7:A210),"")</f>
        <v>122</v>
      </c>
      <c r="B211" s="528" t="s">
        <v>878</v>
      </c>
      <c r="C211" s="538"/>
      <c r="D211" s="539"/>
      <c r="E211" s="540" t="s">
        <v>920</v>
      </c>
      <c r="F211" s="541">
        <v>633</v>
      </c>
      <c r="G211" s="654">
        <v>0.1</v>
      </c>
      <c r="H211" s="655">
        <f t="shared" si="56"/>
        <v>696.30000000000007</v>
      </c>
      <c r="I211" s="83" t="s">
        <v>13</v>
      </c>
      <c r="J211" s="658">
        <f>J$80</f>
        <v>0</v>
      </c>
      <c r="K211" s="709">
        <f>H211*J211</f>
        <v>0</v>
      </c>
      <c r="L211" s="653"/>
    </row>
    <row r="212" spans="1:13" x14ac:dyDescent="0.25">
      <c r="A212" s="518" t="str">
        <f>IF(F212&lt;&gt;"",1+MAX($A$7:A211),"")</f>
        <v/>
      </c>
      <c r="B212" s="83"/>
      <c r="C212" s="520"/>
      <c r="D212" s="379"/>
      <c r="E212" s="542"/>
      <c r="F212" s="570"/>
      <c r="G212" s="659"/>
      <c r="H212" s="660"/>
      <c r="I212" s="83"/>
      <c r="J212" s="658"/>
      <c r="K212" s="712"/>
      <c r="L212" s="653"/>
    </row>
    <row r="213" spans="1:13" ht="16.5" thickBot="1" x14ac:dyDescent="0.3">
      <c r="A213" s="518" t="str">
        <f>IF(F213&lt;&gt;"",1+MAX($A$7:A212),"")</f>
        <v/>
      </c>
      <c r="B213" s="83"/>
      <c r="C213" s="520"/>
      <c r="D213" s="379"/>
      <c r="E213" s="536"/>
      <c r="F213" s="537"/>
      <c r="G213" s="651"/>
      <c r="H213" s="651"/>
      <c r="I213" s="221"/>
      <c r="J213" s="651"/>
      <c r="K213" s="709"/>
      <c r="L213" s="653"/>
    </row>
    <row r="214" spans="1:13" s="650" customFormat="1" ht="16.5" customHeight="1" thickBot="1" x14ac:dyDescent="0.25">
      <c r="A214" s="518" t="str">
        <f>IF(F214&lt;&gt;"",1+MAX($A$7:A213),"")</f>
        <v/>
      </c>
      <c r="B214" s="266"/>
      <c r="C214" s="520"/>
      <c r="D214" s="497"/>
      <c r="E214" s="521" t="s">
        <v>791</v>
      </c>
      <c r="F214" s="522"/>
      <c r="G214" s="523"/>
      <c r="H214" s="524"/>
      <c r="I214" s="221"/>
      <c r="J214" s="525"/>
      <c r="K214" s="526"/>
      <c r="L214" s="527"/>
    </row>
    <row r="215" spans="1:13" x14ac:dyDescent="0.25">
      <c r="A215" s="518">
        <f>IF(F215&lt;&gt;"",1+MAX($A$7:A214),"")</f>
        <v>123</v>
      </c>
      <c r="B215" s="528"/>
      <c r="C215" s="538"/>
      <c r="D215" s="539"/>
      <c r="E215" s="540" t="s">
        <v>921</v>
      </c>
      <c r="F215" s="541">
        <v>1</v>
      </c>
      <c r="G215" s="654">
        <v>0</v>
      </c>
      <c r="H215" s="655">
        <f t="shared" ref="H215:H216" si="57">F215*(1+G215)</f>
        <v>1</v>
      </c>
      <c r="I215" s="83" t="s">
        <v>48</v>
      </c>
      <c r="J215" s="656">
        <v>0</v>
      </c>
      <c r="K215" s="709">
        <f>H215*J215</f>
        <v>0</v>
      </c>
      <c r="L215" s="653"/>
    </row>
    <row r="216" spans="1:13" x14ac:dyDescent="0.25">
      <c r="A216" s="518">
        <f>IF(F216&lt;&gt;"",1+MAX($A$7:A215),"")</f>
        <v>124</v>
      </c>
      <c r="B216" s="528"/>
      <c r="C216" s="538"/>
      <c r="D216" s="539"/>
      <c r="E216" s="540" t="s">
        <v>922</v>
      </c>
      <c r="F216" s="541">
        <v>1</v>
      </c>
      <c r="G216" s="654">
        <v>0</v>
      </c>
      <c r="H216" s="655">
        <f t="shared" si="57"/>
        <v>1</v>
      </c>
      <c r="I216" s="83" t="s">
        <v>48</v>
      </c>
      <c r="J216" s="656">
        <v>0</v>
      </c>
      <c r="K216" s="709">
        <f>H216*J216</f>
        <v>0</v>
      </c>
      <c r="L216" s="653"/>
    </row>
    <row r="217" spans="1:13" ht="16.5" thickBot="1" x14ac:dyDescent="0.3">
      <c r="A217" s="518" t="str">
        <f>IF(F217&lt;&gt;"",1+MAX($A$7:A216),"")</f>
        <v/>
      </c>
      <c r="B217" s="83"/>
      <c r="C217" s="520"/>
      <c r="D217" s="379"/>
      <c r="E217" s="542"/>
      <c r="F217" s="543"/>
      <c r="G217" s="543"/>
      <c r="H217" s="543"/>
      <c r="I217" s="544"/>
      <c r="J217" s="543"/>
      <c r="K217" s="543"/>
      <c r="L217" s="653"/>
    </row>
    <row r="218" spans="1:13" ht="16.5" thickBot="1" x14ac:dyDescent="0.3">
      <c r="A218" s="518" t="str">
        <f>IF(F218&lt;&gt;"",1+MAX($A$7:A217),"")</f>
        <v/>
      </c>
      <c r="B218" s="83"/>
      <c r="C218" s="520"/>
      <c r="D218" s="379"/>
      <c r="E218" s="545" t="s">
        <v>923</v>
      </c>
      <c r="F218" s="537"/>
      <c r="G218" s="651"/>
      <c r="H218" s="651"/>
      <c r="I218" s="221"/>
      <c r="J218" s="663"/>
      <c r="K218" s="664"/>
      <c r="L218" s="665">
        <f>SUM(K157:K217)</f>
        <v>0</v>
      </c>
      <c r="M218" s="717"/>
    </row>
    <row r="219" spans="1:13" ht="16.5" thickBot="1" x14ac:dyDescent="0.3">
      <c r="A219" s="518" t="str">
        <f>IF(F219&lt;&gt;"",1+MAX($A$7:A218),"")</f>
        <v/>
      </c>
      <c r="B219" s="572"/>
      <c r="C219" s="547"/>
      <c r="D219" s="548"/>
      <c r="E219" s="549"/>
      <c r="F219" s="550"/>
      <c r="G219" s="666"/>
      <c r="H219" s="666"/>
      <c r="I219" s="573"/>
      <c r="J219" s="666"/>
      <c r="K219" s="667"/>
      <c r="L219" s="653"/>
    </row>
    <row r="220" spans="1:13" s="650" customFormat="1" ht="16.5" thickBot="1" x14ac:dyDescent="0.25">
      <c r="A220" s="518" t="str">
        <f>IF(F220&lt;&gt;"",1+MAX($A$7:A219),"")</f>
        <v/>
      </c>
      <c r="B220" s="644"/>
      <c r="C220" s="645"/>
      <c r="D220" s="645" t="s">
        <v>924</v>
      </c>
      <c r="E220" s="646" t="s">
        <v>925</v>
      </c>
      <c r="F220" s="519"/>
      <c r="G220" s="645"/>
      <c r="H220" s="645"/>
      <c r="I220" s="668"/>
      <c r="J220" s="648"/>
      <c r="K220" s="645"/>
      <c r="L220" s="653"/>
    </row>
    <row r="221" spans="1:13" s="650" customFormat="1" ht="16.5" customHeight="1" thickBot="1" x14ac:dyDescent="0.25">
      <c r="A221" s="518" t="str">
        <f>IF(F221&lt;&gt;"",1+MAX($A$7:A220),"")</f>
        <v/>
      </c>
      <c r="B221" s="266"/>
      <c r="C221" s="520"/>
      <c r="D221" s="497"/>
      <c r="E221" s="521" t="s">
        <v>926</v>
      </c>
      <c r="F221" s="522"/>
      <c r="G221" s="523"/>
      <c r="H221" s="524"/>
      <c r="I221" s="221"/>
      <c r="J221" s="525"/>
      <c r="K221" s="526"/>
      <c r="L221" s="527"/>
    </row>
    <row r="222" spans="1:13" ht="31.5" x14ac:dyDescent="0.25">
      <c r="A222" s="518">
        <f>IF(F222&lt;&gt;"",1+MAX($A$7:A221),"")</f>
        <v>125</v>
      </c>
      <c r="B222" s="528" t="s">
        <v>927</v>
      </c>
      <c r="C222" s="529"/>
      <c r="D222" s="374"/>
      <c r="E222" s="533" t="s">
        <v>928</v>
      </c>
      <c r="F222" s="534">
        <v>5</v>
      </c>
      <c r="G222" s="654">
        <v>0</v>
      </c>
      <c r="H222" s="655">
        <f t="shared" ref="H222:H241" si="58">F222*(1+G222)</f>
        <v>5</v>
      </c>
      <c r="I222" s="83" t="s">
        <v>18</v>
      </c>
      <c r="J222" s="656">
        <v>0</v>
      </c>
      <c r="K222" s="657">
        <f t="shared" ref="K222:K241" si="59">H222*J222</f>
        <v>0</v>
      </c>
      <c r="L222" s="653"/>
    </row>
    <row r="223" spans="1:13" ht="31.5" x14ac:dyDescent="0.25">
      <c r="A223" s="518">
        <f>IF(F223&lt;&gt;"",1+MAX($A$7:A222),"")</f>
        <v>126</v>
      </c>
      <c r="B223" s="528" t="s">
        <v>927</v>
      </c>
      <c r="C223" s="529"/>
      <c r="D223" s="374"/>
      <c r="E223" s="533" t="s">
        <v>929</v>
      </c>
      <c r="F223" s="534">
        <v>9</v>
      </c>
      <c r="G223" s="654">
        <v>0</v>
      </c>
      <c r="H223" s="655">
        <f t="shared" si="58"/>
        <v>9</v>
      </c>
      <c r="I223" s="83" t="s">
        <v>18</v>
      </c>
      <c r="J223" s="656">
        <v>0</v>
      </c>
      <c r="K223" s="657">
        <f t="shared" si="59"/>
        <v>0</v>
      </c>
      <c r="L223" s="653"/>
    </row>
    <row r="224" spans="1:13" ht="31.5" x14ac:dyDescent="0.25">
      <c r="A224" s="518">
        <f>IF(F224&lt;&gt;"",1+MAX($A$7:A223),"")</f>
        <v>127</v>
      </c>
      <c r="B224" s="528" t="s">
        <v>927</v>
      </c>
      <c r="C224" s="529"/>
      <c r="D224" s="374"/>
      <c r="E224" s="533" t="s">
        <v>930</v>
      </c>
      <c r="F224" s="534">
        <v>4</v>
      </c>
      <c r="G224" s="654">
        <v>0</v>
      </c>
      <c r="H224" s="655">
        <f t="shared" si="58"/>
        <v>4</v>
      </c>
      <c r="I224" s="83" t="s">
        <v>18</v>
      </c>
      <c r="J224" s="656">
        <v>0</v>
      </c>
      <c r="K224" s="657">
        <f t="shared" si="59"/>
        <v>0</v>
      </c>
      <c r="L224" s="653"/>
    </row>
    <row r="225" spans="1:12" ht="31.5" x14ac:dyDescent="0.25">
      <c r="A225" s="518">
        <f>IF(F225&lt;&gt;"",1+MAX($A$7:A224),"")</f>
        <v>128</v>
      </c>
      <c r="B225" s="528" t="s">
        <v>927</v>
      </c>
      <c r="C225" s="529"/>
      <c r="D225" s="374"/>
      <c r="E225" s="533" t="s">
        <v>931</v>
      </c>
      <c r="F225" s="534">
        <v>5</v>
      </c>
      <c r="G225" s="654">
        <v>0</v>
      </c>
      <c r="H225" s="655">
        <f t="shared" si="58"/>
        <v>5</v>
      </c>
      <c r="I225" s="83" t="s">
        <v>18</v>
      </c>
      <c r="J225" s="656">
        <v>0</v>
      </c>
      <c r="K225" s="657">
        <f t="shared" si="59"/>
        <v>0</v>
      </c>
      <c r="L225" s="653"/>
    </row>
    <row r="226" spans="1:12" ht="34.5" customHeight="1" x14ac:dyDescent="0.25">
      <c r="A226" s="518">
        <f>IF(F226&lt;&gt;"",1+MAX($A$7:A225),"")</f>
        <v>129</v>
      </c>
      <c r="B226" s="528" t="s">
        <v>927</v>
      </c>
      <c r="C226" s="529"/>
      <c r="D226" s="374"/>
      <c r="E226" s="533" t="s">
        <v>932</v>
      </c>
      <c r="F226" s="534">
        <v>40</v>
      </c>
      <c r="G226" s="654">
        <v>0</v>
      </c>
      <c r="H226" s="655">
        <f t="shared" si="58"/>
        <v>40</v>
      </c>
      <c r="I226" s="83" t="s">
        <v>18</v>
      </c>
      <c r="J226" s="656">
        <v>0</v>
      </c>
      <c r="K226" s="657">
        <f t="shared" si="59"/>
        <v>0</v>
      </c>
      <c r="L226" s="653"/>
    </row>
    <row r="227" spans="1:12" ht="38.25" customHeight="1" x14ac:dyDescent="0.25">
      <c r="A227" s="518">
        <f>IF(F227&lt;&gt;"",1+MAX($A$7:A226),"")</f>
        <v>130</v>
      </c>
      <c r="B227" s="528" t="s">
        <v>927</v>
      </c>
      <c r="C227" s="529"/>
      <c r="D227" s="374"/>
      <c r="E227" s="533" t="s">
        <v>933</v>
      </c>
      <c r="F227" s="534">
        <v>38</v>
      </c>
      <c r="G227" s="654">
        <v>0</v>
      </c>
      <c r="H227" s="655">
        <f t="shared" si="58"/>
        <v>38</v>
      </c>
      <c r="I227" s="83" t="s">
        <v>18</v>
      </c>
      <c r="J227" s="656">
        <v>0</v>
      </c>
      <c r="K227" s="657">
        <f t="shared" si="59"/>
        <v>0</v>
      </c>
      <c r="L227" s="653"/>
    </row>
    <row r="228" spans="1:12" ht="31.5" x14ac:dyDescent="0.25">
      <c r="A228" s="518">
        <f>IF(F228&lt;&gt;"",1+MAX($A$7:A227),"")</f>
        <v>131</v>
      </c>
      <c r="B228" s="528" t="s">
        <v>927</v>
      </c>
      <c r="C228" s="529"/>
      <c r="D228" s="374"/>
      <c r="E228" s="533" t="s">
        <v>934</v>
      </c>
      <c r="F228" s="534">
        <v>2</v>
      </c>
      <c r="G228" s="654">
        <v>0</v>
      </c>
      <c r="H228" s="655">
        <f t="shared" si="58"/>
        <v>2</v>
      </c>
      <c r="I228" s="83" t="s">
        <v>18</v>
      </c>
      <c r="J228" s="656">
        <v>0</v>
      </c>
      <c r="K228" s="657">
        <f t="shared" si="59"/>
        <v>0</v>
      </c>
      <c r="L228" s="653"/>
    </row>
    <row r="229" spans="1:12" ht="31.5" x14ac:dyDescent="0.25">
      <c r="A229" s="518">
        <f>IF(F229&lt;&gt;"",1+MAX($A$7:A228),"")</f>
        <v>132</v>
      </c>
      <c r="B229" s="528" t="s">
        <v>927</v>
      </c>
      <c r="C229" s="529"/>
      <c r="D229" s="374"/>
      <c r="E229" s="533" t="s">
        <v>935</v>
      </c>
      <c r="F229" s="534">
        <v>2</v>
      </c>
      <c r="G229" s="654">
        <v>0</v>
      </c>
      <c r="H229" s="655">
        <f t="shared" si="58"/>
        <v>2</v>
      </c>
      <c r="I229" s="83" t="s">
        <v>18</v>
      </c>
      <c r="J229" s="656">
        <v>0</v>
      </c>
      <c r="K229" s="657">
        <f t="shared" si="59"/>
        <v>0</v>
      </c>
      <c r="L229" s="653"/>
    </row>
    <row r="230" spans="1:12" ht="34.5" customHeight="1" x14ac:dyDescent="0.25">
      <c r="A230" s="518">
        <f>IF(F230&lt;&gt;"",1+MAX($A$7:A229),"")</f>
        <v>133</v>
      </c>
      <c r="B230" s="528" t="s">
        <v>927</v>
      </c>
      <c r="C230" s="529"/>
      <c r="D230" s="374"/>
      <c r="E230" s="533" t="s">
        <v>936</v>
      </c>
      <c r="F230" s="534">
        <v>20</v>
      </c>
      <c r="G230" s="654">
        <v>0</v>
      </c>
      <c r="H230" s="655">
        <f t="shared" si="58"/>
        <v>20</v>
      </c>
      <c r="I230" s="83" t="s">
        <v>18</v>
      </c>
      <c r="J230" s="656">
        <v>0</v>
      </c>
      <c r="K230" s="657">
        <f t="shared" si="59"/>
        <v>0</v>
      </c>
      <c r="L230" s="653"/>
    </row>
    <row r="231" spans="1:12" ht="31.5" x14ac:dyDescent="0.25">
      <c r="A231" s="518">
        <f>IF(F231&lt;&gt;"",1+MAX($A$7:A230),"")</f>
        <v>134</v>
      </c>
      <c r="B231" s="528" t="s">
        <v>927</v>
      </c>
      <c r="C231" s="529"/>
      <c r="D231" s="374"/>
      <c r="E231" s="533" t="s">
        <v>937</v>
      </c>
      <c r="F231" s="534">
        <v>3</v>
      </c>
      <c r="G231" s="654">
        <v>0</v>
      </c>
      <c r="H231" s="655">
        <f t="shared" si="58"/>
        <v>3</v>
      </c>
      <c r="I231" s="83" t="s">
        <v>18</v>
      </c>
      <c r="J231" s="656">
        <v>0</v>
      </c>
      <c r="K231" s="657">
        <f t="shared" si="59"/>
        <v>0</v>
      </c>
      <c r="L231" s="653"/>
    </row>
    <row r="232" spans="1:12" ht="31.5" x14ac:dyDescent="0.25">
      <c r="A232" s="518">
        <f>IF(F232&lt;&gt;"",1+MAX($A$7:A231),"")</f>
        <v>135</v>
      </c>
      <c r="B232" s="528"/>
      <c r="C232" s="529"/>
      <c r="D232" s="374"/>
      <c r="E232" s="533" t="s">
        <v>938</v>
      </c>
      <c r="F232" s="534">
        <v>12</v>
      </c>
      <c r="G232" s="654">
        <v>0</v>
      </c>
      <c r="H232" s="655">
        <f t="shared" si="58"/>
        <v>12</v>
      </c>
      <c r="I232" s="83" t="s">
        <v>18</v>
      </c>
      <c r="J232" s="656">
        <v>0</v>
      </c>
      <c r="K232" s="657">
        <f t="shared" si="59"/>
        <v>0</v>
      </c>
      <c r="L232" s="653"/>
    </row>
    <row r="233" spans="1:12" ht="31.5" x14ac:dyDescent="0.25">
      <c r="A233" s="518">
        <f>IF(F233&lt;&gt;"",1+MAX($A$7:A232),"")</f>
        <v>136</v>
      </c>
      <c r="B233" s="528" t="s">
        <v>927</v>
      </c>
      <c r="C233" s="529"/>
      <c r="D233" s="374"/>
      <c r="E233" s="533" t="s">
        <v>939</v>
      </c>
      <c r="F233" s="534">
        <v>2</v>
      </c>
      <c r="G233" s="654">
        <v>0</v>
      </c>
      <c r="H233" s="655">
        <f t="shared" si="58"/>
        <v>2</v>
      </c>
      <c r="I233" s="83" t="s">
        <v>18</v>
      </c>
      <c r="J233" s="656">
        <v>0</v>
      </c>
      <c r="K233" s="657">
        <f t="shared" si="59"/>
        <v>0</v>
      </c>
      <c r="L233" s="653"/>
    </row>
    <row r="234" spans="1:12" ht="31.5" x14ac:dyDescent="0.25">
      <c r="A234" s="518">
        <f>IF(F234&lt;&gt;"",1+MAX($A$7:A233),"")</f>
        <v>137</v>
      </c>
      <c r="B234" s="528" t="s">
        <v>927</v>
      </c>
      <c r="C234" s="529"/>
      <c r="D234" s="374"/>
      <c r="E234" s="533" t="s">
        <v>940</v>
      </c>
      <c r="F234" s="534">
        <f>7+1</f>
        <v>8</v>
      </c>
      <c r="G234" s="654">
        <v>0</v>
      </c>
      <c r="H234" s="655">
        <f t="shared" si="58"/>
        <v>8</v>
      </c>
      <c r="I234" s="83" t="s">
        <v>18</v>
      </c>
      <c r="J234" s="656">
        <v>0</v>
      </c>
      <c r="K234" s="657">
        <f t="shared" si="59"/>
        <v>0</v>
      </c>
      <c r="L234" s="653"/>
    </row>
    <row r="235" spans="1:12" ht="31.5" x14ac:dyDescent="0.25">
      <c r="A235" s="518">
        <f>IF(F235&lt;&gt;"",1+MAX($A$7:A234),"")</f>
        <v>138</v>
      </c>
      <c r="B235" s="528" t="s">
        <v>927</v>
      </c>
      <c r="C235" s="529"/>
      <c r="D235" s="374"/>
      <c r="E235" s="533" t="s">
        <v>941</v>
      </c>
      <c r="F235" s="534">
        <v>12</v>
      </c>
      <c r="G235" s="654">
        <v>0</v>
      </c>
      <c r="H235" s="655">
        <f t="shared" si="58"/>
        <v>12</v>
      </c>
      <c r="I235" s="83" t="s">
        <v>18</v>
      </c>
      <c r="J235" s="656">
        <v>0</v>
      </c>
      <c r="K235" s="657">
        <f t="shared" si="59"/>
        <v>0</v>
      </c>
      <c r="L235" s="653"/>
    </row>
    <row r="236" spans="1:12" x14ac:dyDescent="0.25">
      <c r="A236" s="518">
        <f>IF(F236&lt;&gt;"",1+MAX($A$7:A235),"")</f>
        <v>139</v>
      </c>
      <c r="B236" s="528" t="s">
        <v>927</v>
      </c>
      <c r="C236" s="529"/>
      <c r="D236" s="374"/>
      <c r="E236" s="533" t="s">
        <v>942</v>
      </c>
      <c r="F236" s="534">
        <v>8</v>
      </c>
      <c r="G236" s="654">
        <v>0</v>
      </c>
      <c r="H236" s="655">
        <f t="shared" si="58"/>
        <v>8</v>
      </c>
      <c r="I236" s="83" t="s">
        <v>18</v>
      </c>
      <c r="J236" s="656">
        <v>0</v>
      </c>
      <c r="K236" s="657">
        <f t="shared" si="59"/>
        <v>0</v>
      </c>
      <c r="L236" s="653"/>
    </row>
    <row r="237" spans="1:12" x14ac:dyDescent="0.25">
      <c r="A237" s="518">
        <f>IF(F237&lt;&gt;"",1+MAX($A$7:A236),"")</f>
        <v>140</v>
      </c>
      <c r="B237" s="528" t="s">
        <v>927</v>
      </c>
      <c r="C237" s="529"/>
      <c r="D237" s="374"/>
      <c r="E237" s="533" t="s">
        <v>943</v>
      </c>
      <c r="F237" s="534">
        <v>11</v>
      </c>
      <c r="G237" s="654">
        <v>0</v>
      </c>
      <c r="H237" s="655">
        <f t="shared" si="58"/>
        <v>11</v>
      </c>
      <c r="I237" s="83" t="s">
        <v>18</v>
      </c>
      <c r="J237" s="656">
        <v>0</v>
      </c>
      <c r="K237" s="657">
        <f t="shared" si="59"/>
        <v>0</v>
      </c>
      <c r="L237" s="653"/>
    </row>
    <row r="238" spans="1:12" x14ac:dyDescent="0.25">
      <c r="A238" s="518">
        <f>IF(F238&lt;&gt;"",1+MAX($A$7:A237),"")</f>
        <v>141</v>
      </c>
      <c r="B238" s="528" t="s">
        <v>927</v>
      </c>
      <c r="C238" s="529"/>
      <c r="D238" s="374"/>
      <c r="E238" s="533" t="s">
        <v>944</v>
      </c>
      <c r="F238" s="534">
        <v>66</v>
      </c>
      <c r="G238" s="654">
        <v>0</v>
      </c>
      <c r="H238" s="655">
        <f t="shared" si="58"/>
        <v>66</v>
      </c>
      <c r="I238" s="83" t="s">
        <v>18</v>
      </c>
      <c r="J238" s="656">
        <v>0</v>
      </c>
      <c r="K238" s="657">
        <f t="shared" si="59"/>
        <v>0</v>
      </c>
      <c r="L238" s="653"/>
    </row>
    <row r="239" spans="1:12" x14ac:dyDescent="0.25">
      <c r="A239" s="518">
        <f>IF(F239&lt;&gt;"",1+MAX($A$7:A238),"")</f>
        <v>142</v>
      </c>
      <c r="B239" s="528" t="s">
        <v>927</v>
      </c>
      <c r="C239" s="529"/>
      <c r="D239" s="374"/>
      <c r="E239" s="533" t="s">
        <v>945</v>
      </c>
      <c r="F239" s="534">
        <v>48</v>
      </c>
      <c r="G239" s="654">
        <v>0</v>
      </c>
      <c r="H239" s="655">
        <f t="shared" si="58"/>
        <v>48</v>
      </c>
      <c r="I239" s="83" t="s">
        <v>18</v>
      </c>
      <c r="J239" s="656">
        <v>0</v>
      </c>
      <c r="K239" s="657">
        <f t="shared" si="59"/>
        <v>0</v>
      </c>
      <c r="L239" s="653"/>
    </row>
    <row r="240" spans="1:12" ht="31.5" x14ac:dyDescent="0.25">
      <c r="A240" s="518">
        <f>IF(F240&lt;&gt;"",1+MAX($A$7:A239),"")</f>
        <v>143</v>
      </c>
      <c r="B240" s="528" t="s">
        <v>927</v>
      </c>
      <c r="C240" s="529"/>
      <c r="D240" s="374"/>
      <c r="E240" s="533" t="s">
        <v>946</v>
      </c>
      <c r="F240" s="534">
        <v>1</v>
      </c>
      <c r="G240" s="654">
        <v>0</v>
      </c>
      <c r="H240" s="655">
        <f t="shared" si="58"/>
        <v>1</v>
      </c>
      <c r="I240" s="83" t="s">
        <v>18</v>
      </c>
      <c r="J240" s="656">
        <v>0</v>
      </c>
      <c r="K240" s="657">
        <f t="shared" si="59"/>
        <v>0</v>
      </c>
      <c r="L240" s="653"/>
    </row>
    <row r="241" spans="1:12" ht="47.25" x14ac:dyDescent="0.25">
      <c r="A241" s="518">
        <f>IF(F241&lt;&gt;"",1+MAX($A$7:A240),"")</f>
        <v>144</v>
      </c>
      <c r="B241" s="528" t="s">
        <v>927</v>
      </c>
      <c r="C241" s="529"/>
      <c r="D241" s="374"/>
      <c r="E241" s="533" t="s">
        <v>947</v>
      </c>
      <c r="F241" s="534">
        <v>1</v>
      </c>
      <c r="G241" s="654">
        <v>0</v>
      </c>
      <c r="H241" s="655">
        <f t="shared" si="58"/>
        <v>1</v>
      </c>
      <c r="I241" s="83" t="s">
        <v>18</v>
      </c>
      <c r="J241" s="656">
        <v>0</v>
      </c>
      <c r="K241" s="657">
        <f t="shared" si="59"/>
        <v>0</v>
      </c>
      <c r="L241" s="653"/>
    </row>
    <row r="242" spans="1:12" ht="47.25" x14ac:dyDescent="0.25">
      <c r="A242" s="518">
        <f>IF(F242&lt;&gt;"",1+MAX($A$7:A241),"")</f>
        <v>145</v>
      </c>
      <c r="B242" s="528" t="s">
        <v>927</v>
      </c>
      <c r="C242" s="529"/>
      <c r="D242" s="374"/>
      <c r="E242" s="533" t="s">
        <v>948</v>
      </c>
      <c r="F242" s="534">
        <v>11</v>
      </c>
      <c r="G242" s="654">
        <v>0</v>
      </c>
      <c r="H242" s="655">
        <f>F242*(1+G242)</f>
        <v>11</v>
      </c>
      <c r="I242" s="83" t="s">
        <v>18</v>
      </c>
      <c r="J242" s="656">
        <v>0</v>
      </c>
      <c r="K242" s="657">
        <f>H242*J242</f>
        <v>0</v>
      </c>
      <c r="L242" s="653"/>
    </row>
    <row r="243" spans="1:12" s="662" customFormat="1" ht="16.5" thickBot="1" x14ac:dyDescent="0.3">
      <c r="A243" s="518" t="str">
        <f>IF(F243&lt;&gt;"",1+MAX($A$7:A242),"")</f>
        <v/>
      </c>
      <c r="B243" s="366"/>
      <c r="C243" s="529"/>
      <c r="D243" s="530"/>
      <c r="E243" s="533"/>
      <c r="F243" s="535"/>
      <c r="G243" s="659"/>
      <c r="H243" s="660"/>
      <c r="I243" s="83"/>
      <c r="J243" s="658"/>
      <c r="K243" s="661"/>
      <c r="L243" s="653"/>
    </row>
    <row r="244" spans="1:12" s="650" customFormat="1" ht="16.5" customHeight="1" thickBot="1" x14ac:dyDescent="0.25">
      <c r="A244" s="518" t="str">
        <f>IF(F244&lt;&gt;"",1+MAX($A$7:A243),"")</f>
        <v/>
      </c>
      <c r="B244" s="266"/>
      <c r="C244" s="520"/>
      <c r="D244" s="497"/>
      <c r="E244" s="521" t="s">
        <v>949</v>
      </c>
      <c r="F244" s="522"/>
      <c r="G244" s="523"/>
      <c r="H244" s="524"/>
      <c r="I244" s="221"/>
      <c r="J244" s="525"/>
      <c r="K244" s="526"/>
      <c r="L244" s="527"/>
    </row>
    <row r="245" spans="1:12" ht="31.5" x14ac:dyDescent="0.25">
      <c r="A245" s="518">
        <f>IF(F245&lt;&gt;"",1+MAX($A$7:A244),"")</f>
        <v>146</v>
      </c>
      <c r="B245" s="528" t="s">
        <v>950</v>
      </c>
      <c r="C245" s="529"/>
      <c r="D245" s="374"/>
      <c r="E245" s="533" t="s">
        <v>951</v>
      </c>
      <c r="F245" s="534">
        <v>1</v>
      </c>
      <c r="G245" s="654">
        <v>0</v>
      </c>
      <c r="H245" s="655">
        <f t="shared" ref="H245:H259" si="60">F245*(1+G245)</f>
        <v>1</v>
      </c>
      <c r="I245" s="83" t="s">
        <v>18</v>
      </c>
      <c r="J245" s="656">
        <v>0</v>
      </c>
      <c r="K245" s="657">
        <f t="shared" ref="K245:K259" si="61">H245*J245</f>
        <v>0</v>
      </c>
      <c r="L245" s="653"/>
    </row>
    <row r="246" spans="1:12" ht="31.5" x14ac:dyDescent="0.25">
      <c r="A246" s="518">
        <f>IF(F246&lt;&gt;"",1+MAX($A$7:A245),"")</f>
        <v>147</v>
      </c>
      <c r="B246" s="528" t="s">
        <v>950</v>
      </c>
      <c r="C246" s="529"/>
      <c r="D246" s="374"/>
      <c r="E246" s="533" t="s">
        <v>952</v>
      </c>
      <c r="F246" s="534">
        <v>1</v>
      </c>
      <c r="G246" s="654">
        <v>0</v>
      </c>
      <c r="H246" s="655">
        <f t="shared" si="60"/>
        <v>1</v>
      </c>
      <c r="I246" s="83" t="s">
        <v>18</v>
      </c>
      <c r="J246" s="656">
        <v>0</v>
      </c>
      <c r="K246" s="657">
        <f t="shared" si="61"/>
        <v>0</v>
      </c>
      <c r="L246" s="653"/>
    </row>
    <row r="247" spans="1:12" x14ac:dyDescent="0.25">
      <c r="A247" s="518">
        <f>IF(F247&lt;&gt;"",1+MAX($A$7:A246),"")</f>
        <v>148</v>
      </c>
      <c r="B247" s="528" t="s">
        <v>950</v>
      </c>
      <c r="C247" s="529"/>
      <c r="D247" s="374"/>
      <c r="E247" s="533" t="s">
        <v>953</v>
      </c>
      <c r="F247" s="534">
        <v>1</v>
      </c>
      <c r="G247" s="654">
        <v>0</v>
      </c>
      <c r="H247" s="655">
        <f t="shared" si="60"/>
        <v>1</v>
      </c>
      <c r="I247" s="83" t="s">
        <v>18</v>
      </c>
      <c r="J247" s="656">
        <v>0</v>
      </c>
      <c r="K247" s="657">
        <f t="shared" si="61"/>
        <v>0</v>
      </c>
      <c r="L247" s="653"/>
    </row>
    <row r="248" spans="1:12" x14ac:dyDescent="0.25">
      <c r="A248" s="518">
        <f>IF(F248&lt;&gt;"",1+MAX($A$7:A247),"")</f>
        <v>149</v>
      </c>
      <c r="B248" s="528" t="s">
        <v>950</v>
      </c>
      <c r="C248" s="529"/>
      <c r="D248" s="374"/>
      <c r="E248" s="533" t="s">
        <v>954</v>
      </c>
      <c r="F248" s="534">
        <v>1</v>
      </c>
      <c r="G248" s="654">
        <v>0</v>
      </c>
      <c r="H248" s="655">
        <f t="shared" si="60"/>
        <v>1</v>
      </c>
      <c r="I248" s="83" t="s">
        <v>18</v>
      </c>
      <c r="J248" s="656">
        <v>0</v>
      </c>
      <c r="K248" s="657">
        <f t="shared" si="61"/>
        <v>0</v>
      </c>
      <c r="L248" s="653"/>
    </row>
    <row r="249" spans="1:12" x14ac:dyDescent="0.25">
      <c r="A249" s="518">
        <f>IF(F249&lt;&gt;"",1+MAX($A$7:A248),"")</f>
        <v>150</v>
      </c>
      <c r="B249" s="528" t="s">
        <v>950</v>
      </c>
      <c r="C249" s="529"/>
      <c r="D249" s="374"/>
      <c r="E249" s="533" t="s">
        <v>955</v>
      </c>
      <c r="F249" s="534">
        <v>15</v>
      </c>
      <c r="G249" s="654">
        <v>0</v>
      </c>
      <c r="H249" s="655">
        <f t="shared" si="60"/>
        <v>15</v>
      </c>
      <c r="I249" s="83" t="s">
        <v>18</v>
      </c>
      <c r="J249" s="656">
        <v>0</v>
      </c>
      <c r="K249" s="657">
        <f t="shared" si="61"/>
        <v>0</v>
      </c>
      <c r="L249" s="653"/>
    </row>
    <row r="250" spans="1:12" x14ac:dyDescent="0.25">
      <c r="A250" s="518">
        <f>IF(F250&lt;&gt;"",1+MAX($A$7:A249),"")</f>
        <v>151</v>
      </c>
      <c r="B250" s="528" t="s">
        <v>950</v>
      </c>
      <c r="C250" s="529"/>
      <c r="D250" s="374"/>
      <c r="E250" s="533" t="s">
        <v>956</v>
      </c>
      <c r="F250" s="534">
        <f>4+1</f>
        <v>5</v>
      </c>
      <c r="G250" s="654">
        <v>0</v>
      </c>
      <c r="H250" s="655">
        <f t="shared" si="60"/>
        <v>5</v>
      </c>
      <c r="I250" s="83" t="s">
        <v>18</v>
      </c>
      <c r="J250" s="656">
        <v>0</v>
      </c>
      <c r="K250" s="657">
        <f t="shared" si="61"/>
        <v>0</v>
      </c>
      <c r="L250" s="653"/>
    </row>
    <row r="251" spans="1:12" x14ac:dyDescent="0.25">
      <c r="A251" s="518">
        <f>IF(F251&lt;&gt;"",1+MAX($A$7:A250),"")</f>
        <v>152</v>
      </c>
      <c r="B251" s="528" t="s">
        <v>950</v>
      </c>
      <c r="C251" s="529"/>
      <c r="D251" s="374"/>
      <c r="E251" s="533" t="s">
        <v>957</v>
      </c>
      <c r="F251" s="534">
        <v>52</v>
      </c>
      <c r="G251" s="654">
        <v>0</v>
      </c>
      <c r="H251" s="655">
        <f t="shared" si="60"/>
        <v>52</v>
      </c>
      <c r="I251" s="83" t="s">
        <v>18</v>
      </c>
      <c r="J251" s="656">
        <v>0</v>
      </c>
      <c r="K251" s="657">
        <f t="shared" si="61"/>
        <v>0</v>
      </c>
      <c r="L251" s="653"/>
    </row>
    <row r="252" spans="1:12" x14ac:dyDescent="0.25">
      <c r="A252" s="518">
        <f>IF(F252&lt;&gt;"",1+MAX($A$7:A251),"")</f>
        <v>153</v>
      </c>
      <c r="B252" s="528" t="s">
        <v>950</v>
      </c>
      <c r="C252" s="529"/>
      <c r="D252" s="374"/>
      <c r="E252" s="533" t="s">
        <v>958</v>
      </c>
      <c r="F252" s="534">
        <v>29</v>
      </c>
      <c r="G252" s="654">
        <v>0</v>
      </c>
      <c r="H252" s="655">
        <f t="shared" si="60"/>
        <v>29</v>
      </c>
      <c r="I252" s="83" t="s">
        <v>18</v>
      </c>
      <c r="J252" s="656">
        <v>0</v>
      </c>
      <c r="K252" s="657">
        <f t="shared" si="61"/>
        <v>0</v>
      </c>
      <c r="L252" s="653"/>
    </row>
    <row r="253" spans="1:12" x14ac:dyDescent="0.25">
      <c r="A253" s="518">
        <f>IF(F253&lt;&gt;"",1+MAX($A$7:A252),"")</f>
        <v>154</v>
      </c>
      <c r="B253" s="528" t="s">
        <v>950</v>
      </c>
      <c r="C253" s="529"/>
      <c r="D253" s="374"/>
      <c r="E253" s="533" t="s">
        <v>959</v>
      </c>
      <c r="F253" s="534">
        <v>1</v>
      </c>
      <c r="G253" s="654">
        <v>0</v>
      </c>
      <c r="H253" s="655">
        <f t="shared" si="60"/>
        <v>1</v>
      </c>
      <c r="I253" s="83" t="s">
        <v>18</v>
      </c>
      <c r="J253" s="656">
        <v>0</v>
      </c>
      <c r="K253" s="657">
        <f t="shared" si="61"/>
        <v>0</v>
      </c>
      <c r="L253" s="653"/>
    </row>
    <row r="254" spans="1:12" x14ac:dyDescent="0.25">
      <c r="A254" s="518">
        <f>IF(F254&lt;&gt;"",1+MAX($A$7:A253),"")</f>
        <v>155</v>
      </c>
      <c r="B254" s="528" t="s">
        <v>950</v>
      </c>
      <c r="C254" s="529"/>
      <c r="D254" s="374"/>
      <c r="E254" s="533" t="s">
        <v>960</v>
      </c>
      <c r="F254" s="534">
        <v>1</v>
      </c>
      <c r="G254" s="654">
        <v>0</v>
      </c>
      <c r="H254" s="655">
        <f t="shared" si="60"/>
        <v>1</v>
      </c>
      <c r="I254" s="83" t="s">
        <v>18</v>
      </c>
      <c r="J254" s="656">
        <v>0</v>
      </c>
      <c r="K254" s="657">
        <f t="shared" si="61"/>
        <v>0</v>
      </c>
      <c r="L254" s="653"/>
    </row>
    <row r="255" spans="1:12" x14ac:dyDescent="0.25">
      <c r="A255" s="518">
        <f>IF(F255&lt;&gt;"",1+MAX($A$7:A254),"")</f>
        <v>156</v>
      </c>
      <c r="B255" s="528" t="s">
        <v>950</v>
      </c>
      <c r="C255" s="529"/>
      <c r="D255" s="374"/>
      <c r="E255" s="533" t="s">
        <v>961</v>
      </c>
      <c r="F255" s="534">
        <v>32</v>
      </c>
      <c r="G255" s="654">
        <v>0</v>
      </c>
      <c r="H255" s="655">
        <f t="shared" si="60"/>
        <v>32</v>
      </c>
      <c r="I255" s="83" t="s">
        <v>18</v>
      </c>
      <c r="J255" s="656">
        <v>0</v>
      </c>
      <c r="K255" s="657">
        <f t="shared" si="61"/>
        <v>0</v>
      </c>
      <c r="L255" s="653"/>
    </row>
    <row r="256" spans="1:12" x14ac:dyDescent="0.25">
      <c r="A256" s="518">
        <f>IF(F256&lt;&gt;"",1+MAX($A$7:A255),"")</f>
        <v>157</v>
      </c>
      <c r="B256" s="528" t="s">
        <v>950</v>
      </c>
      <c r="C256" s="529"/>
      <c r="D256" s="374"/>
      <c r="E256" s="533" t="s">
        <v>962</v>
      </c>
      <c r="F256" s="534">
        <v>16</v>
      </c>
      <c r="G256" s="654">
        <v>0</v>
      </c>
      <c r="H256" s="655">
        <f t="shared" si="60"/>
        <v>16</v>
      </c>
      <c r="I256" s="83" t="s">
        <v>18</v>
      </c>
      <c r="J256" s="656">
        <v>0</v>
      </c>
      <c r="K256" s="657">
        <f t="shared" si="61"/>
        <v>0</v>
      </c>
      <c r="L256" s="653"/>
    </row>
    <row r="257" spans="1:12" x14ac:dyDescent="0.25">
      <c r="A257" s="518">
        <f>IF(F257&lt;&gt;"",1+MAX($A$7:A256),"")</f>
        <v>158</v>
      </c>
      <c r="B257" s="528" t="s">
        <v>950</v>
      </c>
      <c r="C257" s="529"/>
      <c r="D257" s="374"/>
      <c r="E257" s="533" t="s">
        <v>963</v>
      </c>
      <c r="F257" s="534">
        <v>24</v>
      </c>
      <c r="G257" s="654">
        <v>0</v>
      </c>
      <c r="H257" s="655">
        <f t="shared" si="60"/>
        <v>24</v>
      </c>
      <c r="I257" s="83" t="s">
        <v>18</v>
      </c>
      <c r="J257" s="656">
        <v>0</v>
      </c>
      <c r="K257" s="657">
        <f t="shared" si="61"/>
        <v>0</v>
      </c>
      <c r="L257" s="653"/>
    </row>
    <row r="258" spans="1:12" x14ac:dyDescent="0.25">
      <c r="A258" s="518">
        <f>IF(F258&lt;&gt;"",1+MAX($A$7:A257),"")</f>
        <v>159</v>
      </c>
      <c r="B258" s="528" t="s">
        <v>950</v>
      </c>
      <c r="C258" s="529"/>
      <c r="D258" s="374"/>
      <c r="E258" s="533" t="s">
        <v>964</v>
      </c>
      <c r="F258" s="534">
        <v>174</v>
      </c>
      <c r="G258" s="654">
        <v>0</v>
      </c>
      <c r="H258" s="655">
        <f t="shared" si="60"/>
        <v>174</v>
      </c>
      <c r="I258" s="83" t="s">
        <v>18</v>
      </c>
      <c r="J258" s="656">
        <v>0</v>
      </c>
      <c r="K258" s="657">
        <f t="shared" si="61"/>
        <v>0</v>
      </c>
      <c r="L258" s="653"/>
    </row>
    <row r="259" spans="1:12" x14ac:dyDescent="0.25">
      <c r="A259" s="518">
        <f>IF(F259&lt;&gt;"",1+MAX($A$7:A258),"")</f>
        <v>160</v>
      </c>
      <c r="B259" s="528" t="s">
        <v>950</v>
      </c>
      <c r="C259" s="529"/>
      <c r="D259" s="374"/>
      <c r="E259" s="533" t="s">
        <v>965</v>
      </c>
      <c r="F259" s="534">
        <v>1</v>
      </c>
      <c r="G259" s="654">
        <v>0</v>
      </c>
      <c r="H259" s="655">
        <f t="shared" si="60"/>
        <v>1</v>
      </c>
      <c r="I259" s="83" t="s">
        <v>18</v>
      </c>
      <c r="J259" s="656">
        <v>0</v>
      </c>
      <c r="K259" s="657">
        <f t="shared" si="61"/>
        <v>0</v>
      </c>
      <c r="L259" s="653"/>
    </row>
    <row r="260" spans="1:12" ht="16.5" thickBot="1" x14ac:dyDescent="0.3">
      <c r="A260" s="518" t="str">
        <f>IF(F260&lt;&gt;"",1+MAX($A$7:A259),"")</f>
        <v/>
      </c>
      <c r="B260" s="528"/>
      <c r="C260" s="520"/>
      <c r="D260" s="379"/>
      <c r="E260" s="536"/>
      <c r="F260" s="537"/>
      <c r="G260" s="651"/>
      <c r="H260" s="651"/>
      <c r="I260" s="221"/>
      <c r="J260" s="651"/>
      <c r="K260" s="652"/>
      <c r="L260" s="653"/>
    </row>
    <row r="261" spans="1:12" s="650" customFormat="1" ht="16.5" customHeight="1" thickBot="1" x14ac:dyDescent="0.25">
      <c r="A261" s="518" t="str">
        <f>IF(F261&lt;&gt;"",1+MAX($A$7:A260),"")</f>
        <v/>
      </c>
      <c r="B261" s="266"/>
      <c r="C261" s="520"/>
      <c r="D261" s="497"/>
      <c r="E261" s="521" t="s">
        <v>966</v>
      </c>
      <c r="F261" s="522"/>
      <c r="G261" s="523"/>
      <c r="H261" s="524"/>
      <c r="I261" s="221"/>
      <c r="J261" s="525"/>
      <c r="K261" s="526"/>
      <c r="L261" s="527"/>
    </row>
    <row r="262" spans="1:12" ht="31.5" x14ac:dyDescent="0.25">
      <c r="A262" s="518">
        <f>IF(F262&lt;&gt;"",1+MAX($A$7:A261),"")</f>
        <v>161</v>
      </c>
      <c r="B262" s="528" t="s">
        <v>967</v>
      </c>
      <c r="C262" s="538"/>
      <c r="D262" s="539"/>
      <c r="E262" s="540" t="s">
        <v>968</v>
      </c>
      <c r="F262" s="571">
        <v>1</v>
      </c>
      <c r="G262" s="654">
        <v>0</v>
      </c>
      <c r="H262" s="655">
        <f t="shared" ref="H262:H269" si="62">F262*(1+G262)</f>
        <v>1</v>
      </c>
      <c r="I262" s="83" t="s">
        <v>18</v>
      </c>
      <c r="J262" s="656">
        <v>0</v>
      </c>
      <c r="K262" s="657">
        <f t="shared" ref="K262:K269" si="63">H262*J262</f>
        <v>0</v>
      </c>
      <c r="L262" s="653"/>
    </row>
    <row r="263" spans="1:12" ht="31.5" x14ac:dyDescent="0.25">
      <c r="A263" s="518">
        <f>IF(F263&lt;&gt;"",1+MAX($A$7:A262),"")</f>
        <v>162</v>
      </c>
      <c r="B263" s="528" t="s">
        <v>967</v>
      </c>
      <c r="C263" s="538"/>
      <c r="D263" s="539"/>
      <c r="E263" s="540" t="s">
        <v>969</v>
      </c>
      <c r="F263" s="571">
        <v>8</v>
      </c>
      <c r="G263" s="654">
        <v>0</v>
      </c>
      <c r="H263" s="655">
        <f t="shared" si="62"/>
        <v>8</v>
      </c>
      <c r="I263" s="83" t="s">
        <v>18</v>
      </c>
      <c r="J263" s="656">
        <v>0</v>
      </c>
      <c r="K263" s="657">
        <f t="shared" si="63"/>
        <v>0</v>
      </c>
      <c r="L263" s="653"/>
    </row>
    <row r="264" spans="1:12" x14ac:dyDescent="0.25">
      <c r="A264" s="518">
        <f>IF(F264&lt;&gt;"",1+MAX($A$7:A263),"")</f>
        <v>163</v>
      </c>
      <c r="B264" s="528" t="s">
        <v>967</v>
      </c>
      <c r="C264" s="538"/>
      <c r="D264" s="539"/>
      <c r="E264" s="574" t="s">
        <v>970</v>
      </c>
      <c r="F264" s="571">
        <f>19+18*8</f>
        <v>163</v>
      </c>
      <c r="G264" s="654">
        <v>0</v>
      </c>
      <c r="H264" s="655">
        <f t="shared" si="62"/>
        <v>163</v>
      </c>
      <c r="I264" s="83" t="s">
        <v>18</v>
      </c>
      <c r="J264" s="656">
        <v>0</v>
      </c>
      <c r="K264" s="657">
        <f t="shared" si="63"/>
        <v>0</v>
      </c>
      <c r="L264" s="653"/>
    </row>
    <row r="265" spans="1:12" x14ac:dyDescent="0.25">
      <c r="A265" s="518">
        <f>IF(F265&lt;&gt;"",1+MAX($A$7:A264),"")</f>
        <v>164</v>
      </c>
      <c r="B265" s="528" t="s">
        <v>967</v>
      </c>
      <c r="C265" s="538"/>
      <c r="D265" s="539"/>
      <c r="E265" s="574" t="s">
        <v>971</v>
      </c>
      <c r="F265" s="571">
        <f>20+4*8</f>
        <v>52</v>
      </c>
      <c r="G265" s="654">
        <v>0</v>
      </c>
      <c r="H265" s="655">
        <f t="shared" si="62"/>
        <v>52</v>
      </c>
      <c r="I265" s="83" t="s">
        <v>18</v>
      </c>
      <c r="J265" s="656">
        <v>0</v>
      </c>
      <c r="K265" s="657">
        <f t="shared" si="63"/>
        <v>0</v>
      </c>
      <c r="L265" s="653"/>
    </row>
    <row r="266" spans="1:12" x14ac:dyDescent="0.25">
      <c r="A266" s="518">
        <f>IF(F266&lt;&gt;"",1+MAX($A$7:A265),"")</f>
        <v>165</v>
      </c>
      <c r="B266" s="528" t="s">
        <v>967</v>
      </c>
      <c r="C266" s="538"/>
      <c r="D266" s="539"/>
      <c r="E266" s="574" t="s">
        <v>972</v>
      </c>
      <c r="F266" s="571">
        <f>2*8</f>
        <v>16</v>
      </c>
      <c r="G266" s="654">
        <v>0</v>
      </c>
      <c r="H266" s="655">
        <f t="shared" si="62"/>
        <v>16</v>
      </c>
      <c r="I266" s="83" t="s">
        <v>18</v>
      </c>
      <c r="J266" s="656">
        <v>0</v>
      </c>
      <c r="K266" s="657">
        <f t="shared" si="63"/>
        <v>0</v>
      </c>
      <c r="L266" s="653"/>
    </row>
    <row r="267" spans="1:12" x14ac:dyDescent="0.25">
      <c r="A267" s="518">
        <f>IF(F267&lt;&gt;"",1+MAX($A$7:A266),"")</f>
        <v>166</v>
      </c>
      <c r="B267" s="528" t="s">
        <v>967</v>
      </c>
      <c r="C267" s="538"/>
      <c r="D267" s="539"/>
      <c r="E267" s="574" t="s">
        <v>973</v>
      </c>
      <c r="F267" s="571">
        <v>4</v>
      </c>
      <c r="G267" s="654">
        <v>0</v>
      </c>
      <c r="H267" s="655">
        <f t="shared" si="62"/>
        <v>4</v>
      </c>
      <c r="I267" s="83" t="s">
        <v>18</v>
      </c>
      <c r="J267" s="656">
        <v>0</v>
      </c>
      <c r="K267" s="657">
        <f t="shared" si="63"/>
        <v>0</v>
      </c>
      <c r="L267" s="653"/>
    </row>
    <row r="268" spans="1:12" x14ac:dyDescent="0.25">
      <c r="A268" s="518">
        <f>IF(F268&lt;&gt;"",1+MAX($A$7:A267),"")</f>
        <v>167</v>
      </c>
      <c r="B268" s="528" t="s">
        <v>967</v>
      </c>
      <c r="C268" s="538"/>
      <c r="D268" s="539"/>
      <c r="E268" s="574" t="s">
        <v>974</v>
      </c>
      <c r="F268" s="571">
        <f>4*8</f>
        <v>32</v>
      </c>
      <c r="G268" s="654">
        <v>0</v>
      </c>
      <c r="H268" s="655">
        <f t="shared" si="62"/>
        <v>32</v>
      </c>
      <c r="I268" s="83" t="s">
        <v>18</v>
      </c>
      <c r="J268" s="656">
        <v>0</v>
      </c>
      <c r="K268" s="657">
        <f t="shared" si="63"/>
        <v>0</v>
      </c>
      <c r="L268" s="653"/>
    </row>
    <row r="269" spans="1:12" x14ac:dyDescent="0.25">
      <c r="A269" s="518">
        <f>IF(F269&lt;&gt;"",1+MAX($A$7:A268),"")</f>
        <v>168</v>
      </c>
      <c r="B269" s="528" t="s">
        <v>967</v>
      </c>
      <c r="C269" s="538"/>
      <c r="D269" s="539"/>
      <c r="E269" s="574" t="s">
        <v>975</v>
      </c>
      <c r="F269" s="571">
        <f>2*8</f>
        <v>16</v>
      </c>
      <c r="G269" s="654">
        <v>0</v>
      </c>
      <c r="H269" s="655">
        <f t="shared" si="62"/>
        <v>16</v>
      </c>
      <c r="I269" s="83" t="s">
        <v>18</v>
      </c>
      <c r="J269" s="656">
        <v>0</v>
      </c>
      <c r="K269" s="657">
        <f t="shared" si="63"/>
        <v>0</v>
      </c>
      <c r="L269" s="653"/>
    </row>
    <row r="270" spans="1:12" x14ac:dyDescent="0.25">
      <c r="A270" s="518">
        <f>IF(F270&lt;&gt;"",1+MAX($A$7:A269),"")</f>
        <v>169</v>
      </c>
      <c r="B270" s="528" t="s">
        <v>967</v>
      </c>
      <c r="C270" s="538"/>
      <c r="D270" s="539"/>
      <c r="E270" s="574" t="s">
        <v>976</v>
      </c>
      <c r="F270" s="575">
        <v>3</v>
      </c>
      <c r="G270" s="654">
        <v>0</v>
      </c>
      <c r="H270" s="655">
        <f>F270*(1+G270)</f>
        <v>3</v>
      </c>
      <c r="I270" s="83" t="s">
        <v>18</v>
      </c>
      <c r="J270" s="656">
        <v>0</v>
      </c>
      <c r="K270" s="657">
        <f>H270*J270</f>
        <v>0</v>
      </c>
      <c r="L270" s="653"/>
    </row>
    <row r="271" spans="1:12" x14ac:dyDescent="0.25">
      <c r="A271" s="518">
        <f>IF(F271&lt;&gt;"",1+MAX($A$7:A270),"")</f>
        <v>170</v>
      </c>
      <c r="B271" s="528" t="s">
        <v>967</v>
      </c>
      <c r="C271" s="538"/>
      <c r="D271" s="539"/>
      <c r="E271" s="540" t="s">
        <v>977</v>
      </c>
      <c r="F271" s="571">
        <v>1</v>
      </c>
      <c r="G271" s="654">
        <v>0</v>
      </c>
      <c r="H271" s="655">
        <f t="shared" ref="H271:H272" si="64">F271*(1+G271)</f>
        <v>1</v>
      </c>
      <c r="I271" s="83" t="s">
        <v>18</v>
      </c>
      <c r="J271" s="656">
        <v>0</v>
      </c>
      <c r="K271" s="657">
        <f t="shared" ref="K271:K272" si="65">H271*J271</f>
        <v>0</v>
      </c>
      <c r="L271" s="653"/>
    </row>
    <row r="272" spans="1:12" x14ac:dyDescent="0.25">
      <c r="A272" s="518">
        <f>IF(F272&lt;&gt;"",1+MAX($A$7:A271),"")</f>
        <v>171</v>
      </c>
      <c r="B272" s="528" t="s">
        <v>967</v>
      </c>
      <c r="C272" s="538"/>
      <c r="D272" s="539"/>
      <c r="E272" s="540" t="s">
        <v>978</v>
      </c>
      <c r="F272" s="571">
        <v>1</v>
      </c>
      <c r="G272" s="654">
        <v>0</v>
      </c>
      <c r="H272" s="655">
        <f t="shared" si="64"/>
        <v>1</v>
      </c>
      <c r="I272" s="83" t="s">
        <v>18</v>
      </c>
      <c r="J272" s="656">
        <v>0</v>
      </c>
      <c r="K272" s="657">
        <f t="shared" si="65"/>
        <v>0</v>
      </c>
      <c r="L272" s="653"/>
    </row>
    <row r="273" spans="1:12" ht="31.5" x14ac:dyDescent="0.25">
      <c r="A273" s="518">
        <f>IF(F273&lt;&gt;"",1+MAX($A$7:A272),"")</f>
        <v>172</v>
      </c>
      <c r="B273" s="528" t="s">
        <v>967</v>
      </c>
      <c r="C273" s="538"/>
      <c r="D273" s="539"/>
      <c r="E273" s="540" t="s">
        <v>979</v>
      </c>
      <c r="F273" s="571">
        <v>1</v>
      </c>
      <c r="G273" s="654">
        <v>0</v>
      </c>
      <c r="H273" s="655">
        <f>F273*(1+G273)</f>
        <v>1</v>
      </c>
      <c r="I273" s="83" t="s">
        <v>18</v>
      </c>
      <c r="J273" s="656">
        <v>0</v>
      </c>
      <c r="K273" s="657">
        <f>H273*J273</f>
        <v>0</v>
      </c>
      <c r="L273" s="653"/>
    </row>
    <row r="274" spans="1:12" ht="31.5" x14ac:dyDescent="0.25">
      <c r="A274" s="518">
        <f>IF(F274&lt;&gt;"",1+MAX($A$7:A273),"")</f>
        <v>173</v>
      </c>
      <c r="B274" s="528" t="s">
        <v>967</v>
      </c>
      <c r="C274" s="538"/>
      <c r="D274" s="539"/>
      <c r="E274" s="540" t="s">
        <v>980</v>
      </c>
      <c r="F274" s="571">
        <v>1</v>
      </c>
      <c r="G274" s="654">
        <v>0</v>
      </c>
      <c r="H274" s="655">
        <f>F274*(1+G274)</f>
        <v>1</v>
      </c>
      <c r="I274" s="83" t="s">
        <v>18</v>
      </c>
      <c r="J274" s="656">
        <v>0</v>
      </c>
      <c r="K274" s="657">
        <f>H274*J274</f>
        <v>0</v>
      </c>
      <c r="L274" s="653"/>
    </row>
    <row r="275" spans="1:12" ht="16.5" thickBot="1" x14ac:dyDescent="0.3">
      <c r="A275" s="518" t="str">
        <f>IF(F275&lt;&gt;"",1+MAX($A$7:A274),"")</f>
        <v/>
      </c>
      <c r="B275" s="528"/>
      <c r="C275" s="520"/>
      <c r="D275" s="379"/>
      <c r="E275" s="536"/>
      <c r="F275" s="537"/>
      <c r="G275" s="651"/>
      <c r="H275" s="651"/>
      <c r="I275" s="221"/>
      <c r="J275" s="651"/>
      <c r="K275" s="652"/>
      <c r="L275" s="653"/>
    </row>
    <row r="276" spans="1:12" s="650" customFormat="1" ht="16.5" customHeight="1" thickBot="1" x14ac:dyDescent="0.25">
      <c r="A276" s="518" t="str">
        <f>IF(F276&lt;&gt;"",1+MAX($A$7:A275),"")</f>
        <v/>
      </c>
      <c r="B276" s="266"/>
      <c r="C276" s="520"/>
      <c r="D276" s="497"/>
      <c r="E276" s="521" t="s">
        <v>791</v>
      </c>
      <c r="F276" s="522"/>
      <c r="G276" s="523"/>
      <c r="H276" s="524"/>
      <c r="I276" s="221"/>
      <c r="J276" s="525"/>
      <c r="K276" s="526"/>
      <c r="L276" s="527"/>
    </row>
    <row r="277" spans="1:12" x14ac:dyDescent="0.25">
      <c r="A277" s="518">
        <f>IF(F277&lt;&gt;"",1+MAX($A$7:A276),"")</f>
        <v>174</v>
      </c>
      <c r="B277" s="528"/>
      <c r="C277" s="538"/>
      <c r="D277" s="539"/>
      <c r="E277" s="540" t="s">
        <v>981</v>
      </c>
      <c r="F277" s="541">
        <v>1</v>
      </c>
      <c r="G277" s="654">
        <v>0</v>
      </c>
      <c r="H277" s="655">
        <f t="shared" ref="H277:H278" si="66">F277*(1+G277)</f>
        <v>1</v>
      </c>
      <c r="I277" s="83" t="s">
        <v>48</v>
      </c>
      <c r="J277" s="656">
        <v>0</v>
      </c>
      <c r="K277" s="657">
        <f>H277*J277</f>
        <v>0</v>
      </c>
      <c r="L277" s="653"/>
    </row>
    <row r="278" spans="1:12" x14ac:dyDescent="0.25">
      <c r="A278" s="518">
        <f>IF(F278&lt;&gt;"",1+MAX($A$7:A277),"")</f>
        <v>175</v>
      </c>
      <c r="B278" s="528"/>
      <c r="C278" s="538"/>
      <c r="D278" s="539"/>
      <c r="E278" s="540" t="s">
        <v>982</v>
      </c>
      <c r="F278" s="541">
        <v>1</v>
      </c>
      <c r="G278" s="654">
        <v>0</v>
      </c>
      <c r="H278" s="655">
        <f t="shared" si="66"/>
        <v>1</v>
      </c>
      <c r="I278" s="83" t="s">
        <v>48</v>
      </c>
      <c r="J278" s="656">
        <v>0</v>
      </c>
      <c r="K278" s="657">
        <f>H278*J278</f>
        <v>0</v>
      </c>
      <c r="L278" s="653"/>
    </row>
    <row r="279" spans="1:12" ht="16.5" thickBot="1" x14ac:dyDescent="0.3">
      <c r="A279" s="518" t="str">
        <f>IF(F279&lt;&gt;"",1+MAX($A$7:A278),"")</f>
        <v/>
      </c>
      <c r="B279" s="83"/>
      <c r="C279" s="520"/>
      <c r="D279" s="379"/>
      <c r="E279" s="542"/>
      <c r="F279" s="543"/>
      <c r="G279" s="543"/>
      <c r="H279" s="543"/>
      <c r="I279" s="544"/>
      <c r="J279" s="543"/>
      <c r="K279" s="543"/>
      <c r="L279" s="653"/>
    </row>
    <row r="280" spans="1:12" ht="16.5" thickBot="1" x14ac:dyDescent="0.3">
      <c r="A280" s="518" t="str">
        <f>IF(F280&lt;&gt;"",1+MAX($A$7:A279),"")</f>
        <v/>
      </c>
      <c r="B280" s="83"/>
      <c r="C280" s="520"/>
      <c r="D280" s="379"/>
      <c r="E280" s="545" t="s">
        <v>983</v>
      </c>
      <c r="F280" s="537"/>
      <c r="G280" s="651"/>
      <c r="H280" s="651"/>
      <c r="I280" s="221"/>
      <c r="J280" s="663"/>
      <c r="K280" s="664"/>
      <c r="L280" s="665">
        <f>SUM(K221:K279)</f>
        <v>0</v>
      </c>
    </row>
    <row r="281" spans="1:12" x14ac:dyDescent="0.25">
      <c r="A281" s="518" t="str">
        <f>IF(F281&lt;&gt;"",1+MAX($A$7:A280),"")</f>
        <v/>
      </c>
      <c r="B281" s="546"/>
      <c r="C281" s="576"/>
      <c r="D281" s="374"/>
      <c r="E281" s="577"/>
      <c r="F281" s="535"/>
      <c r="G281" s="666"/>
      <c r="H281" s="666"/>
      <c r="I281" s="221"/>
      <c r="J281" s="666"/>
      <c r="K281" s="667"/>
      <c r="L281" s="653"/>
    </row>
    <row r="282" spans="1:12" x14ac:dyDescent="0.25">
      <c r="A282" s="518" t="str">
        <f>IF(F282&lt;&gt;"",1+MAX($A$7:A281),"")</f>
        <v/>
      </c>
      <c r="B282" s="83"/>
      <c r="C282" s="520"/>
      <c r="D282" s="379"/>
      <c r="E282" s="536"/>
      <c r="F282" s="537"/>
      <c r="G282" s="651"/>
      <c r="H282" s="651"/>
      <c r="I282" s="221"/>
      <c r="J282" s="651"/>
      <c r="K282" s="652"/>
      <c r="L282" s="653"/>
    </row>
    <row r="283" spans="1:12" ht="16.5" thickBot="1" x14ac:dyDescent="0.3">
      <c r="A283" s="578" t="str">
        <f>IF(F283&lt;&gt;"",1+MAX($A$6:A282),"")</f>
        <v/>
      </c>
      <c r="B283" s="546"/>
      <c r="C283" s="547"/>
      <c r="D283" s="548"/>
      <c r="E283" s="579"/>
      <c r="F283" s="550"/>
      <c r="G283" s="651"/>
      <c r="H283" s="651"/>
      <c r="I283" s="573"/>
      <c r="J283" s="651"/>
      <c r="K283" s="652"/>
      <c r="L283" s="678"/>
    </row>
    <row r="284" spans="1:12" s="589" customFormat="1" ht="16.5" thickBot="1" x14ac:dyDescent="0.25">
      <c r="A284" s="580" t="s">
        <v>12</v>
      </c>
      <c r="B284" s="581"/>
      <c r="C284" s="582"/>
      <c r="D284" s="582"/>
      <c r="E284" s="583"/>
      <c r="F284" s="584"/>
      <c r="G284" s="585"/>
      <c r="H284" s="585"/>
      <c r="I284" s="586"/>
      <c r="J284" s="587"/>
      <c r="K284" s="588">
        <f>SUM(K7:K283)</f>
        <v>0</v>
      </c>
      <c r="L284" s="682">
        <f>SUM(L7:L283)</f>
        <v>0</v>
      </c>
    </row>
    <row r="285" spans="1:12" s="589" customFormat="1" ht="16.5" thickBot="1" x14ac:dyDescent="0.25">
      <c r="A285" s="590" t="s">
        <v>37</v>
      </c>
      <c r="B285" s="591"/>
      <c r="C285" s="592"/>
      <c r="D285" s="592"/>
      <c r="E285" s="593"/>
      <c r="F285" s="594"/>
      <c r="G285" s="595"/>
      <c r="H285" s="595"/>
      <c r="I285" s="596"/>
      <c r="J285" s="597">
        <v>0.2</v>
      </c>
      <c r="K285" s="598">
        <f>J285*K284</f>
        <v>0</v>
      </c>
      <c r="L285" s="599"/>
    </row>
    <row r="286" spans="1:12" s="589" customFormat="1" ht="16.5" thickBot="1" x14ac:dyDescent="0.25">
      <c r="A286" s="600" t="s">
        <v>984</v>
      </c>
      <c r="B286" s="601"/>
      <c r="C286" s="602"/>
      <c r="D286" s="602"/>
      <c r="E286" s="603"/>
      <c r="F286" s="604"/>
      <c r="G286" s="605"/>
      <c r="H286" s="57"/>
      <c r="I286" s="602"/>
      <c r="J286" s="606"/>
      <c r="K286" s="607">
        <f>SUM(K284:K285)</f>
        <v>0</v>
      </c>
      <c r="L286" s="608"/>
    </row>
    <row r="287" spans="1:12" ht="16.5" thickBot="1" x14ac:dyDescent="0.3">
      <c r="A287" s="609" t="s">
        <v>985</v>
      </c>
      <c r="B287" s="610"/>
      <c r="C287" s="611" t="s">
        <v>563</v>
      </c>
      <c r="D287" s="610"/>
      <c r="E287" s="612"/>
      <c r="F287" s="613"/>
      <c r="G287" s="679"/>
      <c r="H287" s="679"/>
      <c r="I287" s="614"/>
      <c r="J287" s="679"/>
      <c r="K287" s="679"/>
      <c r="L287" s="680"/>
    </row>
  </sheetData>
  <pageMargins left="0.7" right="0.7" top="0.75" bottom="0.75" header="0.3" footer="0.3"/>
  <pageSetup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24"/>
  <sheetViews>
    <sheetView showGridLines="0" view="pageBreakPreview" zoomScale="90" zoomScaleNormal="90" zoomScaleSheetLayoutView="90" workbookViewId="0">
      <pane ySplit="6" topLeftCell="A7" activePane="bottomLeft" state="frozen"/>
      <selection pane="bottomLeft" activeCell="A7" sqref="A7"/>
    </sheetView>
  </sheetViews>
  <sheetFormatPr defaultColWidth="9.6640625" defaultRowHeight="15.75" x14ac:dyDescent="0.2"/>
  <cols>
    <col min="1" max="1" width="5.6640625" style="418" customWidth="1"/>
    <col min="2" max="2" width="9.88671875" style="405" customWidth="1"/>
    <col min="3" max="3" width="13.33203125" style="405" customWidth="1"/>
    <col min="4" max="4" width="6.88671875" style="405" customWidth="1"/>
    <col min="5" max="5" width="46.21875" style="406" bestFit="1" customWidth="1"/>
    <col min="6" max="6" width="8.44140625" style="407" customWidth="1"/>
    <col min="7" max="7" width="7.33203125" style="408" customWidth="1"/>
    <col min="8" max="8" width="11.33203125" style="408" customWidth="1"/>
    <col min="9" max="9" width="7.109375" style="405" customWidth="1"/>
    <col min="10" max="10" width="9.33203125" style="409" customWidth="1"/>
    <col min="11" max="11" width="11.44140625" style="410" customWidth="1"/>
    <col min="12" max="12" width="11.6640625" style="351" customWidth="1"/>
    <col min="13" max="13" width="10.33203125" style="258" bestFit="1" customWidth="1"/>
    <col min="14" max="14" width="10.77734375" style="258" bestFit="1" customWidth="1"/>
    <col min="15" max="16384" width="9.6640625" style="258"/>
  </cols>
  <sheetData>
    <row r="1" spans="1:14" s="347" customFormat="1" ht="16.5" thickBot="1" x14ac:dyDescent="0.25">
      <c r="A1" s="476" t="s">
        <v>6</v>
      </c>
      <c r="B1" s="341"/>
      <c r="C1" s="474"/>
      <c r="D1" s="342"/>
      <c r="E1" s="343"/>
      <c r="F1" s="344"/>
      <c r="G1" s="344"/>
      <c r="H1" s="344"/>
      <c r="I1" s="344"/>
      <c r="J1" s="345"/>
      <c r="K1" s="344"/>
      <c r="L1" s="346"/>
      <c r="M1" s="258"/>
      <c r="N1" s="258"/>
    </row>
    <row r="2" spans="1:14" x14ac:dyDescent="0.2">
      <c r="A2" s="477" t="s">
        <v>7</v>
      </c>
      <c r="B2" s="348"/>
      <c r="C2" s="620"/>
      <c r="D2" s="88"/>
      <c r="E2" s="349"/>
      <c r="F2" s="350"/>
      <c r="G2" s="349"/>
      <c r="H2" s="349"/>
      <c r="I2" s="349"/>
      <c r="J2" s="119"/>
      <c r="K2" s="116"/>
      <c r="L2" s="120"/>
      <c r="M2" s="351"/>
    </row>
    <row r="3" spans="1:14" x14ac:dyDescent="0.2">
      <c r="A3" s="478" t="s">
        <v>8</v>
      </c>
      <c r="B3" s="348"/>
      <c r="C3" s="513" t="s">
        <v>453</v>
      </c>
      <c r="D3" s="621"/>
      <c r="E3" s="622"/>
      <c r="F3" s="623"/>
      <c r="G3" s="622"/>
      <c r="H3" s="622"/>
      <c r="I3" s="624"/>
      <c r="J3" s="625"/>
      <c r="K3" s="117"/>
      <c r="L3" s="484"/>
      <c r="M3" s="351"/>
    </row>
    <row r="4" spans="1:14" x14ac:dyDescent="0.2">
      <c r="A4" s="478" t="s">
        <v>9</v>
      </c>
      <c r="B4" s="348"/>
      <c r="C4" s="513">
        <v>44677</v>
      </c>
      <c r="D4" s="621"/>
      <c r="E4" s="622"/>
      <c r="F4" s="626"/>
      <c r="G4" s="622"/>
      <c r="H4" s="622"/>
      <c r="I4" s="624"/>
      <c r="J4" s="625"/>
      <c r="K4" s="117"/>
      <c r="L4" s="484"/>
      <c r="M4" s="351"/>
    </row>
    <row r="5" spans="1:14" ht="16.5" thickBot="1" x14ac:dyDescent="0.25">
      <c r="A5" s="479" t="s">
        <v>713</v>
      </c>
      <c r="B5" s="348"/>
      <c r="C5" s="475">
        <f>K$222</f>
        <v>0</v>
      </c>
      <c r="D5" s="352"/>
      <c r="E5" s="485"/>
      <c r="F5" s="623"/>
      <c r="G5" s="623"/>
      <c r="H5" s="622"/>
      <c r="I5" s="624"/>
      <c r="J5" s="625"/>
      <c r="K5" s="117"/>
      <c r="L5" s="486"/>
      <c r="M5" s="351"/>
    </row>
    <row r="6" spans="1:14" s="353" customFormat="1" ht="37.5" customHeight="1" thickBot="1" x14ac:dyDescent="0.25">
      <c r="A6" s="480" t="s">
        <v>10</v>
      </c>
      <c r="B6" s="481" t="s">
        <v>14</v>
      </c>
      <c r="C6" s="481" t="s">
        <v>15</v>
      </c>
      <c r="D6" s="481" t="s">
        <v>17</v>
      </c>
      <c r="E6" s="481" t="s">
        <v>1</v>
      </c>
      <c r="F6" s="481" t="s">
        <v>38</v>
      </c>
      <c r="G6" s="481" t="s">
        <v>3</v>
      </c>
      <c r="H6" s="481" t="s">
        <v>4</v>
      </c>
      <c r="I6" s="481" t="s">
        <v>0</v>
      </c>
      <c r="J6" s="481" t="s">
        <v>68</v>
      </c>
      <c r="K6" s="482" t="s">
        <v>5</v>
      </c>
      <c r="L6" s="483" t="s">
        <v>11</v>
      </c>
      <c r="N6" s="354"/>
    </row>
    <row r="7" spans="1:14" s="496" customFormat="1" ht="16.5" thickBot="1" x14ac:dyDescent="0.25">
      <c r="A7" s="359"/>
      <c r="B7" s="487"/>
      <c r="C7" s="488"/>
      <c r="D7" s="489">
        <v>31000</v>
      </c>
      <c r="E7" s="490" t="s">
        <v>454</v>
      </c>
      <c r="F7" s="491"/>
      <c r="G7" s="492"/>
      <c r="H7" s="492"/>
      <c r="I7" s="492"/>
      <c r="J7" s="493"/>
      <c r="K7" s="494"/>
      <c r="L7" s="495"/>
    </row>
    <row r="8" spans="1:14" ht="16.5" thickBot="1" x14ac:dyDescent="0.25">
      <c r="A8" s="359"/>
      <c r="B8" s="83"/>
      <c r="C8" s="360"/>
      <c r="D8" s="497"/>
      <c r="E8" s="498" t="s">
        <v>455</v>
      </c>
      <c r="F8" s="385"/>
      <c r="G8" s="499"/>
      <c r="H8" s="75"/>
      <c r="I8" s="76"/>
      <c r="J8" s="76"/>
      <c r="K8" s="500"/>
      <c r="L8" s="365"/>
    </row>
    <row r="9" spans="1:14" ht="31.5" x14ac:dyDescent="0.2">
      <c r="A9" s="359">
        <f>IF(F9&lt;&gt;"",1+MAX($A$6:A8),"")</f>
        <v>1</v>
      </c>
      <c r="B9" s="83" t="s">
        <v>456</v>
      </c>
      <c r="C9" s="360"/>
      <c r="D9" s="436"/>
      <c r="E9" s="362" t="s">
        <v>755</v>
      </c>
      <c r="F9" s="264">
        <v>6782</v>
      </c>
      <c r="G9" s="74">
        <v>0.1</v>
      </c>
      <c r="H9" s="75">
        <f t="shared" ref="H9:H16" si="0">F9*(1+G9)</f>
        <v>7460.2000000000007</v>
      </c>
      <c r="I9" s="76" t="s">
        <v>16</v>
      </c>
      <c r="J9" s="363">
        <v>0</v>
      </c>
      <c r="K9" s="364">
        <f t="shared" ref="K9:K16" si="1">J9*H9</f>
        <v>0</v>
      </c>
      <c r="L9" s="365"/>
    </row>
    <row r="10" spans="1:14" x14ac:dyDescent="0.2">
      <c r="A10" s="359" t="str">
        <f>IF(F10&lt;&gt;"",1+MAX($A$6:A9),"")</f>
        <v/>
      </c>
      <c r="B10" s="83"/>
      <c r="C10" s="360"/>
      <c r="D10" s="366"/>
      <c r="E10" s="367"/>
      <c r="F10" s="368"/>
      <c r="G10" s="369"/>
      <c r="H10" s="75"/>
      <c r="I10" s="76"/>
      <c r="J10" s="370"/>
      <c r="K10" s="364"/>
      <c r="L10" s="365"/>
      <c r="M10" s="371"/>
    </row>
    <row r="11" spans="1:14" x14ac:dyDescent="0.2">
      <c r="A11" s="359">
        <f>IF(F11&lt;&gt;"",1+MAX($A$6:A10),"")</f>
        <v>2</v>
      </c>
      <c r="B11" s="83" t="s">
        <v>456</v>
      </c>
      <c r="C11" s="360"/>
      <c r="D11" s="366"/>
      <c r="E11" s="372" t="s">
        <v>457</v>
      </c>
      <c r="F11" s="368">
        <v>54.35</v>
      </c>
      <c r="G11" s="74">
        <v>0.1</v>
      </c>
      <c r="H11" s="75">
        <f t="shared" ref="H11" si="2">F11*(1+G11)</f>
        <v>59.785000000000004</v>
      </c>
      <c r="I11" s="76" t="s">
        <v>458</v>
      </c>
      <c r="J11" s="363">
        <v>0</v>
      </c>
      <c r="K11" s="364">
        <f t="shared" ref="K11" si="3">J11*H11</f>
        <v>0</v>
      </c>
      <c r="L11" s="365"/>
      <c r="M11" s="373"/>
    </row>
    <row r="12" spans="1:14" x14ac:dyDescent="0.2">
      <c r="A12" s="359" t="str">
        <f>IF(F12&lt;&gt;"",1+MAX($A$6:A11),"")</f>
        <v/>
      </c>
      <c r="B12" s="83"/>
      <c r="C12" s="360"/>
      <c r="D12" s="366"/>
      <c r="E12" s="367"/>
      <c r="F12" s="368"/>
      <c r="G12" s="369"/>
      <c r="H12" s="75"/>
      <c r="I12" s="76"/>
      <c r="J12" s="370"/>
      <c r="K12" s="364"/>
      <c r="L12" s="365"/>
      <c r="M12" s="371"/>
    </row>
    <row r="13" spans="1:14" x14ac:dyDescent="0.2">
      <c r="A13" s="359">
        <f>IF(F13&lt;&gt;"",1+MAX($A$6:A12),"")</f>
        <v>3</v>
      </c>
      <c r="B13" s="83" t="s">
        <v>456</v>
      </c>
      <c r="C13" s="360"/>
      <c r="D13" s="366"/>
      <c r="E13" s="372" t="s">
        <v>459</v>
      </c>
      <c r="F13" s="368">
        <v>38.799999999999997</v>
      </c>
      <c r="G13" s="74">
        <v>0.1</v>
      </c>
      <c r="H13" s="75">
        <f t="shared" si="0"/>
        <v>42.68</v>
      </c>
      <c r="I13" s="76" t="s">
        <v>458</v>
      </c>
      <c r="J13" s="363">
        <v>0</v>
      </c>
      <c r="K13" s="364">
        <f t="shared" si="1"/>
        <v>0</v>
      </c>
      <c r="L13" s="365"/>
      <c r="M13" s="373"/>
    </row>
    <row r="14" spans="1:14" x14ac:dyDescent="0.2">
      <c r="A14" s="359">
        <f>IF(F14&lt;&gt;"",1+MAX($A$6:A13),"")</f>
        <v>4</v>
      </c>
      <c r="B14" s="83" t="s">
        <v>456</v>
      </c>
      <c r="C14" s="360"/>
      <c r="D14" s="366"/>
      <c r="E14" s="372" t="s">
        <v>460</v>
      </c>
      <c r="F14" s="368">
        <v>145.68</v>
      </c>
      <c r="G14" s="74">
        <v>0.1</v>
      </c>
      <c r="H14" s="75">
        <f t="shared" si="0"/>
        <v>160.24800000000002</v>
      </c>
      <c r="I14" s="76" t="s">
        <v>458</v>
      </c>
      <c r="J14" s="363">
        <v>0</v>
      </c>
      <c r="K14" s="364">
        <f t="shared" si="1"/>
        <v>0</v>
      </c>
      <c r="L14" s="365"/>
      <c r="M14" s="371"/>
    </row>
    <row r="15" spans="1:14" x14ac:dyDescent="0.2">
      <c r="A15" s="359" t="str">
        <f>IF(F15&lt;&gt;"",1+MAX($A$6:A14),"")</f>
        <v/>
      </c>
      <c r="B15" s="83"/>
      <c r="C15" s="360"/>
      <c r="D15" s="366"/>
      <c r="E15" s="367"/>
      <c r="F15" s="368"/>
      <c r="G15" s="369"/>
      <c r="H15" s="75"/>
      <c r="I15" s="76"/>
      <c r="J15" s="370"/>
      <c r="K15" s="364"/>
      <c r="L15" s="365"/>
      <c r="M15" s="371"/>
    </row>
    <row r="16" spans="1:14" x14ac:dyDescent="0.2">
      <c r="A16" s="359">
        <f>IF(F16&lt;&gt;"",1+MAX($A$6:A15),"")</f>
        <v>5</v>
      </c>
      <c r="B16" s="83" t="s">
        <v>456</v>
      </c>
      <c r="C16" s="360"/>
      <c r="D16" s="366"/>
      <c r="E16" s="372" t="s">
        <v>461</v>
      </c>
      <c r="F16" s="264">
        <f>F14-F13</f>
        <v>106.88000000000001</v>
      </c>
      <c r="G16" s="74">
        <v>0.1</v>
      </c>
      <c r="H16" s="75">
        <f t="shared" si="0"/>
        <v>117.56800000000003</v>
      </c>
      <c r="I16" s="76" t="s">
        <v>458</v>
      </c>
      <c r="J16" s="363">
        <v>0</v>
      </c>
      <c r="K16" s="364">
        <f t="shared" si="1"/>
        <v>0</v>
      </c>
      <c r="L16" s="365"/>
      <c r="M16" s="371"/>
      <c r="N16" s="371"/>
    </row>
    <row r="17" spans="1:13" ht="16.5" thickBot="1" x14ac:dyDescent="0.25">
      <c r="A17" s="359" t="str">
        <f>IF(F17&lt;&gt;"",1+MAX($A$6:A16),"")</f>
        <v/>
      </c>
      <c r="B17" s="83"/>
      <c r="C17" s="360"/>
      <c r="D17" s="366"/>
      <c r="E17" s="367"/>
      <c r="F17" s="368"/>
      <c r="G17" s="369"/>
      <c r="H17" s="75"/>
      <c r="I17" s="76"/>
      <c r="J17" s="370"/>
      <c r="K17" s="364"/>
      <c r="L17" s="365"/>
      <c r="M17" s="371"/>
    </row>
    <row r="18" spans="1:13" ht="16.5" thickBot="1" x14ac:dyDescent="0.25">
      <c r="A18" s="359" t="str">
        <f>IF(F18&lt;&gt;"",1+MAX($A$6:A17),"")</f>
        <v/>
      </c>
      <c r="B18" s="83"/>
      <c r="C18" s="360"/>
      <c r="D18" s="497"/>
      <c r="E18" s="498" t="s">
        <v>462</v>
      </c>
      <c r="F18" s="385"/>
      <c r="G18" s="499"/>
      <c r="H18" s="75"/>
      <c r="I18" s="76"/>
      <c r="J18" s="76"/>
      <c r="K18" s="500"/>
      <c r="L18" s="365"/>
    </row>
    <row r="19" spans="1:13" ht="63" x14ac:dyDescent="0.2">
      <c r="A19" s="359">
        <f>IF(F19&lt;&gt;"",1+MAX($A$6:A18),"")</f>
        <v>6</v>
      </c>
      <c r="B19" s="83" t="s">
        <v>463</v>
      </c>
      <c r="C19" s="83" t="s">
        <v>464</v>
      </c>
      <c r="D19" s="366"/>
      <c r="E19" s="372" t="s">
        <v>465</v>
      </c>
      <c r="F19" s="264">
        <v>345.37</v>
      </c>
      <c r="G19" s="74">
        <v>0.1</v>
      </c>
      <c r="H19" s="75">
        <f t="shared" ref="H19:H22" si="4">F19*(1+G19)</f>
        <v>379.90700000000004</v>
      </c>
      <c r="I19" s="76" t="s">
        <v>13</v>
      </c>
      <c r="J19" s="363">
        <v>0</v>
      </c>
      <c r="K19" s="364">
        <f t="shared" ref="K19:K22" si="5">J19*H19</f>
        <v>0</v>
      </c>
      <c r="L19" s="365"/>
      <c r="M19" s="371"/>
    </row>
    <row r="20" spans="1:13" ht="63" x14ac:dyDescent="0.2">
      <c r="A20" s="359">
        <f>IF(F20&lt;&gt;"",1+MAX($A$6:A19),"")</f>
        <v>7</v>
      </c>
      <c r="B20" s="83" t="s">
        <v>463</v>
      </c>
      <c r="C20" s="83" t="s">
        <v>464</v>
      </c>
      <c r="D20" s="436"/>
      <c r="E20" s="362" t="s">
        <v>466</v>
      </c>
      <c r="F20" s="264">
        <v>4</v>
      </c>
      <c r="G20" s="74">
        <v>0</v>
      </c>
      <c r="H20" s="75">
        <f t="shared" si="4"/>
        <v>4</v>
      </c>
      <c r="I20" s="76" t="s">
        <v>18</v>
      </c>
      <c r="J20" s="363">
        <v>0</v>
      </c>
      <c r="K20" s="364">
        <f t="shared" si="5"/>
        <v>0</v>
      </c>
      <c r="L20" s="365"/>
    </row>
    <row r="21" spans="1:13" ht="47.25" x14ac:dyDescent="0.2">
      <c r="A21" s="359">
        <f>IF(F21&lt;&gt;"",1+MAX($A$6:A20),"")</f>
        <v>8</v>
      </c>
      <c r="B21" s="83" t="s">
        <v>463</v>
      </c>
      <c r="C21" s="83" t="s">
        <v>464</v>
      </c>
      <c r="D21" s="366"/>
      <c r="E21" s="372" t="s">
        <v>467</v>
      </c>
      <c r="F21" s="264">
        <v>1250</v>
      </c>
      <c r="G21" s="74">
        <v>0.1</v>
      </c>
      <c r="H21" s="75">
        <f t="shared" si="4"/>
        <v>1375</v>
      </c>
      <c r="I21" s="76" t="s">
        <v>16</v>
      </c>
      <c r="J21" s="363">
        <v>0</v>
      </c>
      <c r="K21" s="364">
        <f t="shared" si="5"/>
        <v>0</v>
      </c>
      <c r="L21" s="365"/>
      <c r="M21" s="373"/>
    </row>
    <row r="22" spans="1:13" x14ac:dyDescent="0.2">
      <c r="A22" s="359">
        <f>IF(F22&lt;&gt;"",1+MAX($A$6:A21),"")</f>
        <v>9</v>
      </c>
      <c r="B22" s="83" t="s">
        <v>463</v>
      </c>
      <c r="C22" s="83" t="s">
        <v>464</v>
      </c>
      <c r="D22" s="366"/>
      <c r="E22" s="372" t="s">
        <v>1044</v>
      </c>
      <c r="F22" s="264">
        <v>1</v>
      </c>
      <c r="G22" s="74">
        <v>0</v>
      </c>
      <c r="H22" s="75">
        <f t="shared" si="4"/>
        <v>1</v>
      </c>
      <c r="I22" s="76" t="s">
        <v>48</v>
      </c>
      <c r="J22" s="363">
        <v>0</v>
      </c>
      <c r="K22" s="364">
        <f t="shared" si="5"/>
        <v>0</v>
      </c>
      <c r="L22" s="365"/>
      <c r="M22" s="371"/>
    </row>
    <row r="23" spans="1:13" ht="16.5" thickBot="1" x14ac:dyDescent="0.25">
      <c r="A23" s="359" t="str">
        <f>IF(F23&lt;&gt;"",1+MAX($A$6:A22),"")</f>
        <v/>
      </c>
      <c r="B23" s="83"/>
      <c r="C23" s="360"/>
      <c r="D23" s="374"/>
      <c r="E23" s="627"/>
      <c r="F23" s="202"/>
      <c r="G23" s="203"/>
      <c r="H23" s="202"/>
      <c r="I23" s="204"/>
      <c r="J23" s="376"/>
      <c r="K23" s="377"/>
      <c r="L23" s="378"/>
    </row>
    <row r="24" spans="1:13" ht="16.5" thickBot="1" x14ac:dyDescent="0.25">
      <c r="A24" s="359" t="str">
        <f>IF(F24&lt;&gt;"",1+MAX($A$6:A23),"")</f>
        <v/>
      </c>
      <c r="B24" s="366"/>
      <c r="C24" s="366"/>
      <c r="D24" s="379"/>
      <c r="E24" s="380" t="s">
        <v>468</v>
      </c>
      <c r="F24" s="368"/>
      <c r="G24" s="381"/>
      <c r="H24" s="75"/>
      <c r="I24" s="76"/>
      <c r="J24" s="382"/>
      <c r="K24" s="42"/>
      <c r="L24" s="383">
        <f>SUM(K8:K23)</f>
        <v>0</v>
      </c>
      <c r="M24" s="371"/>
    </row>
    <row r="25" spans="1:13" ht="16.5" thickBot="1" x14ac:dyDescent="0.25">
      <c r="A25" s="359" t="str">
        <f>IF(F25&lt;&gt;"",1+MAX($A$6:A24),"")</f>
        <v/>
      </c>
      <c r="B25" s="83"/>
      <c r="C25" s="360"/>
      <c r="D25" s="366"/>
      <c r="E25" s="367"/>
      <c r="F25" s="286"/>
      <c r="G25" s="369"/>
      <c r="H25" s="75"/>
      <c r="I25" s="76"/>
      <c r="J25" s="370"/>
      <c r="K25" s="364"/>
      <c r="L25" s="365"/>
      <c r="M25" s="371"/>
    </row>
    <row r="26" spans="1:13" s="496" customFormat="1" ht="16.5" thickBot="1" x14ac:dyDescent="0.25">
      <c r="A26" s="359" t="str">
        <f>IF(F26&lt;&gt;"",1+MAX($A$6:A25),"")</f>
        <v/>
      </c>
      <c r="B26" s="487"/>
      <c r="C26" s="488"/>
      <c r="D26" s="489">
        <v>32000</v>
      </c>
      <c r="E26" s="490" t="s">
        <v>469</v>
      </c>
      <c r="F26" s="491"/>
      <c r="G26" s="492"/>
      <c r="H26" s="492"/>
      <c r="I26" s="492"/>
      <c r="J26" s="493"/>
      <c r="K26" s="494"/>
      <c r="L26" s="495"/>
    </row>
    <row r="27" spans="1:13" ht="16.5" thickBot="1" x14ac:dyDescent="0.25">
      <c r="A27" s="359" t="str">
        <f>IF(F27&lt;&gt;"",1+MAX($A$6:A26),"")</f>
        <v/>
      </c>
      <c r="B27" s="83"/>
      <c r="C27" s="360"/>
      <c r="D27" s="497"/>
      <c r="E27" s="498" t="s">
        <v>470</v>
      </c>
      <c r="F27" s="385"/>
      <c r="G27" s="499"/>
      <c r="H27" s="75"/>
      <c r="I27" s="76"/>
      <c r="J27" s="76"/>
      <c r="K27" s="500"/>
      <c r="L27" s="365"/>
    </row>
    <row r="28" spans="1:13" x14ac:dyDescent="0.2">
      <c r="A28" s="359">
        <f>IF(F28&lt;&gt;"",1+MAX($A$6:A27),"")</f>
        <v>10</v>
      </c>
      <c r="B28" s="83" t="s">
        <v>471</v>
      </c>
      <c r="C28" s="360"/>
      <c r="D28" s="436"/>
      <c r="E28" s="362" t="s">
        <v>472</v>
      </c>
      <c r="F28" s="264">
        <v>2504</v>
      </c>
      <c r="G28" s="74">
        <v>0</v>
      </c>
      <c r="H28" s="75">
        <f t="shared" ref="H28:H37" si="6">F28*(1+G28)</f>
        <v>2504</v>
      </c>
      <c r="I28" s="76" t="s">
        <v>16</v>
      </c>
      <c r="J28" s="363">
        <v>0</v>
      </c>
      <c r="K28" s="364">
        <f t="shared" ref="K28:K37" si="7">J28*H28</f>
        <v>0</v>
      </c>
      <c r="L28" s="365"/>
    </row>
    <row r="29" spans="1:13" x14ac:dyDescent="0.2">
      <c r="A29" s="359">
        <f>IF(F29&lt;&gt;"",1+MAX($A$6:A28),"")</f>
        <v>11</v>
      </c>
      <c r="B29" s="83" t="s">
        <v>471</v>
      </c>
      <c r="C29" s="360"/>
      <c r="D29" s="366"/>
      <c r="E29" s="372" t="s">
        <v>473</v>
      </c>
      <c r="F29" s="264">
        <v>709</v>
      </c>
      <c r="G29" s="74">
        <v>0</v>
      </c>
      <c r="H29" s="75">
        <f t="shared" si="6"/>
        <v>709</v>
      </c>
      <c r="I29" s="76" t="s">
        <v>16</v>
      </c>
      <c r="J29" s="363">
        <v>0</v>
      </c>
      <c r="K29" s="364">
        <f t="shared" si="7"/>
        <v>0</v>
      </c>
      <c r="L29" s="365"/>
      <c r="M29" s="373"/>
    </row>
    <row r="30" spans="1:13" x14ac:dyDescent="0.2">
      <c r="A30" s="359">
        <f>IF(F30&lt;&gt;"",1+MAX($A$6:A29),"")</f>
        <v>12</v>
      </c>
      <c r="B30" s="83" t="s">
        <v>471</v>
      </c>
      <c r="C30" s="360"/>
      <c r="D30" s="366"/>
      <c r="E30" s="372" t="s">
        <v>474</v>
      </c>
      <c r="F30" s="264">
        <v>56</v>
      </c>
      <c r="G30" s="369">
        <v>0</v>
      </c>
      <c r="H30" s="75">
        <f t="shared" si="6"/>
        <v>56</v>
      </c>
      <c r="I30" s="76" t="s">
        <v>16</v>
      </c>
      <c r="J30" s="363">
        <v>0</v>
      </c>
      <c r="K30" s="364">
        <f t="shared" si="7"/>
        <v>0</v>
      </c>
      <c r="L30" s="365"/>
      <c r="M30" s="371"/>
    </row>
    <row r="31" spans="1:13" x14ac:dyDescent="0.2">
      <c r="A31" s="359">
        <f>IF(F31&lt;&gt;"",1+MAX($A$6:A30),"")</f>
        <v>13</v>
      </c>
      <c r="B31" s="83" t="s">
        <v>471</v>
      </c>
      <c r="C31" s="360"/>
      <c r="D31" s="366"/>
      <c r="E31" s="372" t="s">
        <v>475</v>
      </c>
      <c r="F31" s="264">
        <v>143.44999999999999</v>
      </c>
      <c r="G31" s="369">
        <v>0</v>
      </c>
      <c r="H31" s="75">
        <f t="shared" si="6"/>
        <v>143.44999999999999</v>
      </c>
      <c r="I31" s="76" t="s">
        <v>13</v>
      </c>
      <c r="J31" s="363">
        <v>0</v>
      </c>
      <c r="K31" s="364">
        <f t="shared" si="7"/>
        <v>0</v>
      </c>
      <c r="L31" s="365"/>
      <c r="M31" s="371"/>
    </row>
    <row r="32" spans="1:13" x14ac:dyDescent="0.2">
      <c r="A32" s="359">
        <f>IF(F32&lt;&gt;"",1+MAX($A$6:A31),"")</f>
        <v>14</v>
      </c>
      <c r="B32" s="83" t="s">
        <v>471</v>
      </c>
      <c r="C32" s="360"/>
      <c r="D32" s="366"/>
      <c r="E32" s="372" t="s">
        <v>476</v>
      </c>
      <c r="F32" s="264">
        <v>107.71</v>
      </c>
      <c r="G32" s="369">
        <v>0</v>
      </c>
      <c r="H32" s="75">
        <f t="shared" si="6"/>
        <v>107.71</v>
      </c>
      <c r="I32" s="76" t="s">
        <v>13</v>
      </c>
      <c r="J32" s="363">
        <v>0</v>
      </c>
      <c r="K32" s="364">
        <f t="shared" si="7"/>
        <v>0</v>
      </c>
      <c r="L32" s="365"/>
      <c r="M32" s="371"/>
    </row>
    <row r="33" spans="1:13" x14ac:dyDescent="0.2">
      <c r="A33" s="359">
        <f>IF(F33&lt;&gt;"",1+MAX($A$6:A32),"")</f>
        <v>15</v>
      </c>
      <c r="B33" s="83" t="s">
        <v>471</v>
      </c>
      <c r="C33" s="360"/>
      <c r="D33" s="436"/>
      <c r="E33" s="362" t="s">
        <v>477</v>
      </c>
      <c r="F33" s="264">
        <v>5774</v>
      </c>
      <c r="G33" s="74">
        <v>0</v>
      </c>
      <c r="H33" s="75">
        <f t="shared" si="6"/>
        <v>5774</v>
      </c>
      <c r="I33" s="76" t="s">
        <v>16</v>
      </c>
      <c r="J33" s="363">
        <v>0</v>
      </c>
      <c r="K33" s="364">
        <f t="shared" si="7"/>
        <v>0</v>
      </c>
      <c r="L33" s="365"/>
    </row>
    <row r="34" spans="1:13" x14ac:dyDescent="0.2">
      <c r="A34" s="359">
        <f>IF(F34&lt;&gt;"",1+MAX($A$6:A33),"")</f>
        <v>16</v>
      </c>
      <c r="B34" s="83" t="s">
        <v>471</v>
      </c>
      <c r="C34" s="360"/>
      <c r="D34" s="366"/>
      <c r="E34" s="372" t="s">
        <v>478</v>
      </c>
      <c r="F34" s="264">
        <v>1</v>
      </c>
      <c r="G34" s="74">
        <v>0</v>
      </c>
      <c r="H34" s="75">
        <f t="shared" si="6"/>
        <v>1</v>
      </c>
      <c r="I34" s="76" t="s">
        <v>18</v>
      </c>
      <c r="J34" s="363">
        <v>0</v>
      </c>
      <c r="K34" s="364">
        <f t="shared" si="7"/>
        <v>0</v>
      </c>
      <c r="L34" s="365"/>
      <c r="M34" s="373"/>
    </row>
    <row r="35" spans="1:13" x14ac:dyDescent="0.2">
      <c r="A35" s="359">
        <f>IF(F35&lt;&gt;"",1+MAX($A$6:A34),"")</f>
        <v>17</v>
      </c>
      <c r="B35" s="83" t="s">
        <v>471</v>
      </c>
      <c r="C35" s="360"/>
      <c r="D35" s="366"/>
      <c r="E35" s="372" t="s">
        <v>479</v>
      </c>
      <c r="F35" s="264">
        <v>52.51</v>
      </c>
      <c r="G35" s="369">
        <v>0</v>
      </c>
      <c r="H35" s="75">
        <f t="shared" si="6"/>
        <v>52.51</v>
      </c>
      <c r="I35" s="76" t="s">
        <v>13</v>
      </c>
      <c r="J35" s="363">
        <v>0</v>
      </c>
      <c r="K35" s="364">
        <f t="shared" si="7"/>
        <v>0</v>
      </c>
      <c r="L35" s="365"/>
      <c r="M35" s="371"/>
    </row>
    <row r="36" spans="1:13" x14ac:dyDescent="0.2">
      <c r="A36" s="359">
        <f>IF(F36&lt;&gt;"",1+MAX($A$6:A35),"")</f>
        <v>18</v>
      </c>
      <c r="B36" s="83" t="s">
        <v>471</v>
      </c>
      <c r="C36" s="360"/>
      <c r="D36" s="366"/>
      <c r="E36" s="372" t="s">
        <v>480</v>
      </c>
      <c r="F36" s="264">
        <v>240</v>
      </c>
      <c r="G36" s="369">
        <v>0</v>
      </c>
      <c r="H36" s="75">
        <f t="shared" si="6"/>
        <v>240</v>
      </c>
      <c r="I36" s="76" t="s">
        <v>16</v>
      </c>
      <c r="J36" s="363">
        <v>0</v>
      </c>
      <c r="K36" s="364">
        <f t="shared" si="7"/>
        <v>0</v>
      </c>
      <c r="L36" s="365"/>
      <c r="M36" s="371"/>
    </row>
    <row r="37" spans="1:13" x14ac:dyDescent="0.2">
      <c r="A37" s="359">
        <f>IF(F37&lt;&gt;"",1+MAX($A$6:A36),"")</f>
        <v>19</v>
      </c>
      <c r="B37" s="83" t="s">
        <v>471</v>
      </c>
      <c r="C37" s="360"/>
      <c r="D37" s="366"/>
      <c r="E37" s="372" t="s">
        <v>481</v>
      </c>
      <c r="F37" s="264">
        <v>366.64</v>
      </c>
      <c r="G37" s="369">
        <v>0</v>
      </c>
      <c r="H37" s="75">
        <f t="shared" si="6"/>
        <v>366.64</v>
      </c>
      <c r="I37" s="76" t="s">
        <v>13</v>
      </c>
      <c r="J37" s="363">
        <v>0</v>
      </c>
      <c r="K37" s="364">
        <f t="shared" si="7"/>
        <v>0</v>
      </c>
      <c r="L37" s="365"/>
      <c r="M37" s="371"/>
    </row>
    <row r="38" spans="1:13" ht="16.5" thickBot="1" x14ac:dyDescent="0.25">
      <c r="A38" s="359" t="str">
        <f>IF(F38&lt;&gt;"",1+MAX($A$6:A37),"")</f>
        <v/>
      </c>
      <c r="B38" s="83"/>
      <c r="C38" s="360"/>
      <c r="D38" s="366"/>
      <c r="E38" s="367" t="s">
        <v>482</v>
      </c>
      <c r="F38" s="368"/>
      <c r="G38" s="369"/>
      <c r="H38" s="75"/>
      <c r="I38" s="76"/>
      <c r="J38" s="370"/>
      <c r="K38" s="364"/>
      <c r="L38" s="365"/>
      <c r="M38" s="371"/>
    </row>
    <row r="39" spans="1:13" ht="16.5" thickBot="1" x14ac:dyDescent="0.25">
      <c r="A39" s="359" t="str">
        <f>IF(F39&lt;&gt;"",1+MAX($A$6:A38),"")</f>
        <v/>
      </c>
      <c r="B39" s="83"/>
      <c r="C39" s="360"/>
      <c r="D39" s="497"/>
      <c r="E39" s="498" t="s">
        <v>483</v>
      </c>
      <c r="F39" s="385"/>
      <c r="G39" s="499"/>
      <c r="H39" s="75"/>
      <c r="I39" s="76"/>
      <c r="J39" s="76"/>
      <c r="K39" s="500"/>
      <c r="L39" s="365"/>
    </row>
    <row r="40" spans="1:13" ht="16.5" thickBot="1" x14ac:dyDescent="0.25">
      <c r="A40" s="359" t="str">
        <f>IF(F40&lt;&gt;"",1+MAX($A$6:A39),"")</f>
        <v/>
      </c>
      <c r="B40" s="83"/>
      <c r="C40" s="266"/>
      <c r="D40" s="628"/>
      <c r="E40" s="432" t="s">
        <v>484</v>
      </c>
      <c r="F40" s="385"/>
      <c r="G40" s="386"/>
      <c r="H40" s="287"/>
      <c r="I40" s="288"/>
      <c r="J40" s="387"/>
      <c r="K40" s="629"/>
      <c r="L40" s="365"/>
    </row>
    <row r="41" spans="1:13" ht="31.5" x14ac:dyDescent="0.2">
      <c r="A41" s="359">
        <f>IF(F41&lt;&gt;"",1+MAX($A$6:A40),"")</f>
        <v>20</v>
      </c>
      <c r="B41" s="83" t="s">
        <v>485</v>
      </c>
      <c r="C41" s="360" t="s">
        <v>486</v>
      </c>
      <c r="D41" s="436">
        <f>H41*0.42/27</f>
        <v>15.382888888888889</v>
      </c>
      <c r="E41" s="362" t="s">
        <v>487</v>
      </c>
      <c r="F41" s="264">
        <v>899</v>
      </c>
      <c r="G41" s="74">
        <v>0.1</v>
      </c>
      <c r="H41" s="75">
        <f t="shared" ref="H41:H67" si="8">F41*(1+G41)</f>
        <v>988.90000000000009</v>
      </c>
      <c r="I41" s="76" t="s">
        <v>16</v>
      </c>
      <c r="J41" s="363">
        <v>0</v>
      </c>
      <c r="K41" s="364">
        <f t="shared" ref="K41:K67" si="9">J41*H41</f>
        <v>0</v>
      </c>
      <c r="L41" s="365"/>
    </row>
    <row r="42" spans="1:13" x14ac:dyDescent="0.2">
      <c r="A42" s="359">
        <f>IF(F42&lt;&gt;"",1+MAX($A$6:A41),"")</f>
        <v>21</v>
      </c>
      <c r="B42" s="83" t="s">
        <v>485</v>
      </c>
      <c r="C42" s="360" t="s">
        <v>486</v>
      </c>
      <c r="D42" s="436"/>
      <c r="E42" s="362" t="s">
        <v>488</v>
      </c>
      <c r="F42" s="264">
        <f>F41*0.16</f>
        <v>143.84</v>
      </c>
      <c r="G42" s="74">
        <v>0.1</v>
      </c>
      <c r="H42" s="75">
        <f t="shared" si="8"/>
        <v>158.22400000000002</v>
      </c>
      <c r="I42" s="76" t="s">
        <v>13</v>
      </c>
      <c r="J42" s="363">
        <v>0</v>
      </c>
      <c r="K42" s="364">
        <f t="shared" si="9"/>
        <v>0</v>
      </c>
      <c r="L42" s="365"/>
    </row>
    <row r="43" spans="1:13" x14ac:dyDescent="0.2">
      <c r="A43" s="359">
        <f>IF(F43&lt;&gt;"",1+MAX($A$6:A42),"")</f>
        <v>22</v>
      </c>
      <c r="B43" s="83" t="s">
        <v>485</v>
      </c>
      <c r="C43" s="360" t="s">
        <v>486</v>
      </c>
      <c r="D43" s="436"/>
      <c r="E43" s="362" t="s">
        <v>489</v>
      </c>
      <c r="F43" s="264">
        <f>F41*0.08</f>
        <v>71.92</v>
      </c>
      <c r="G43" s="74">
        <v>0.1</v>
      </c>
      <c r="H43" s="75">
        <f t="shared" si="8"/>
        <v>79.112000000000009</v>
      </c>
      <c r="I43" s="76" t="s">
        <v>13</v>
      </c>
      <c r="J43" s="363">
        <v>0</v>
      </c>
      <c r="K43" s="364">
        <f t="shared" si="9"/>
        <v>0</v>
      </c>
      <c r="L43" s="365"/>
    </row>
    <row r="44" spans="1:13" x14ac:dyDescent="0.2">
      <c r="A44" s="359">
        <f>IF(F44&lt;&gt;"",1+MAX($A$6:A43),"")</f>
        <v>23</v>
      </c>
      <c r="B44" s="83" t="s">
        <v>485</v>
      </c>
      <c r="C44" s="360" t="s">
        <v>486</v>
      </c>
      <c r="D44" s="436"/>
      <c r="E44" s="362" t="s">
        <v>490</v>
      </c>
      <c r="F44" s="264">
        <v>297.26</v>
      </c>
      <c r="G44" s="74">
        <v>0.1</v>
      </c>
      <c r="H44" s="75">
        <f t="shared" si="8"/>
        <v>326.98599999999999</v>
      </c>
      <c r="I44" s="76" t="s">
        <v>13</v>
      </c>
      <c r="J44" s="363">
        <v>0</v>
      </c>
      <c r="K44" s="364">
        <f t="shared" si="9"/>
        <v>0</v>
      </c>
      <c r="L44" s="365"/>
    </row>
    <row r="45" spans="1:13" x14ac:dyDescent="0.2">
      <c r="A45" s="359">
        <f>IF(F45&lt;&gt;"",1+MAX($A$6:A44),"")</f>
        <v>24</v>
      </c>
      <c r="B45" s="83" t="s">
        <v>485</v>
      </c>
      <c r="C45" s="360" t="s">
        <v>486</v>
      </c>
      <c r="D45" s="501"/>
      <c r="E45" s="362" t="s">
        <v>491</v>
      </c>
      <c r="F45" s="264">
        <f>F41*0.334/27</f>
        <v>11.120962962962963</v>
      </c>
      <c r="G45" s="74">
        <v>0.1</v>
      </c>
      <c r="H45" s="75">
        <f t="shared" si="8"/>
        <v>12.23305925925926</v>
      </c>
      <c r="I45" s="76" t="s">
        <v>458</v>
      </c>
      <c r="J45" s="363">
        <v>0</v>
      </c>
      <c r="K45" s="364">
        <f t="shared" si="9"/>
        <v>0</v>
      </c>
      <c r="L45" s="365"/>
    </row>
    <row r="46" spans="1:13" x14ac:dyDescent="0.2">
      <c r="A46" s="359">
        <f>IF(F46&lt;&gt;"",1+MAX($A$6:A45),"")</f>
        <v>25</v>
      </c>
      <c r="B46" s="83" t="s">
        <v>485</v>
      </c>
      <c r="C46" s="360" t="s">
        <v>486</v>
      </c>
      <c r="D46" s="436"/>
      <c r="E46" s="362" t="s">
        <v>492</v>
      </c>
      <c r="F46" s="264">
        <f>F41</f>
        <v>899</v>
      </c>
      <c r="G46" s="74">
        <v>0.1</v>
      </c>
      <c r="H46" s="75">
        <f t="shared" si="8"/>
        <v>988.90000000000009</v>
      </c>
      <c r="I46" s="76" t="s">
        <v>16</v>
      </c>
      <c r="J46" s="363">
        <v>0</v>
      </c>
      <c r="K46" s="364">
        <f t="shared" si="9"/>
        <v>0</v>
      </c>
      <c r="L46" s="365"/>
    </row>
    <row r="47" spans="1:13" ht="16.5" thickBot="1" x14ac:dyDescent="0.25">
      <c r="A47" s="359" t="str">
        <f>IF(F47&lt;&gt;"",1+MAX($A$6:A46),"")</f>
        <v/>
      </c>
      <c r="B47" s="83"/>
      <c r="C47" s="360"/>
      <c r="D47" s="366"/>
      <c r="E47" s="362"/>
      <c r="F47" s="264"/>
      <c r="G47" s="369"/>
      <c r="H47" s="75"/>
      <c r="I47" s="76"/>
      <c r="J47" s="76"/>
      <c r="K47" s="364"/>
      <c r="L47" s="365"/>
      <c r="M47" s="371"/>
    </row>
    <row r="48" spans="1:13" ht="16.5" thickBot="1" x14ac:dyDescent="0.25">
      <c r="A48" s="359" t="str">
        <f>IF(F48&lt;&gt;"",1+MAX($A$6:A47),"")</f>
        <v/>
      </c>
      <c r="B48" s="83"/>
      <c r="C48" s="266"/>
      <c r="D48" s="628"/>
      <c r="E48" s="432" t="s">
        <v>493</v>
      </c>
      <c r="F48" s="385"/>
      <c r="G48" s="386"/>
      <c r="H48" s="287"/>
      <c r="I48" s="288"/>
      <c r="J48" s="387"/>
      <c r="K48" s="629"/>
      <c r="L48" s="365"/>
    </row>
    <row r="49" spans="1:13" ht="31.5" x14ac:dyDescent="0.2">
      <c r="A49" s="359">
        <f>IF(F49&lt;&gt;"",1+MAX($A$6:A48),"")</f>
        <v>26</v>
      </c>
      <c r="B49" s="83" t="s">
        <v>485</v>
      </c>
      <c r="C49" s="360" t="s">
        <v>486</v>
      </c>
      <c r="D49" s="436">
        <f>H49*0.5/27</f>
        <v>7.1296296296296306</v>
      </c>
      <c r="E49" s="372" t="s">
        <v>1042</v>
      </c>
      <c r="F49" s="264">
        <v>350</v>
      </c>
      <c r="G49" s="74">
        <v>0.1</v>
      </c>
      <c r="H49" s="75">
        <f t="shared" si="8"/>
        <v>385.00000000000006</v>
      </c>
      <c r="I49" s="76" t="s">
        <v>16</v>
      </c>
      <c r="J49" s="363">
        <v>0</v>
      </c>
      <c r="K49" s="364">
        <f t="shared" si="9"/>
        <v>0</v>
      </c>
      <c r="L49" s="365"/>
      <c r="M49" s="373"/>
    </row>
    <row r="50" spans="1:13" x14ac:dyDescent="0.2">
      <c r="A50" s="359">
        <f>IF(F50&lt;&gt;"",1+MAX($A$6:A49),"")</f>
        <v>27</v>
      </c>
      <c r="B50" s="83" t="s">
        <v>485</v>
      </c>
      <c r="C50" s="360" t="s">
        <v>486</v>
      </c>
      <c r="D50" s="436"/>
      <c r="E50" s="362" t="s">
        <v>488</v>
      </c>
      <c r="F50" s="264">
        <f>F49*0.16</f>
        <v>56</v>
      </c>
      <c r="G50" s="74">
        <v>0.1</v>
      </c>
      <c r="H50" s="75">
        <f t="shared" si="8"/>
        <v>61.600000000000009</v>
      </c>
      <c r="I50" s="76" t="s">
        <v>13</v>
      </c>
      <c r="J50" s="370">
        <f>J$42</f>
        <v>0</v>
      </c>
      <c r="K50" s="364">
        <f t="shared" si="9"/>
        <v>0</v>
      </c>
      <c r="L50" s="365"/>
    </row>
    <row r="51" spans="1:13" x14ac:dyDescent="0.2">
      <c r="A51" s="359">
        <f>IF(F51&lt;&gt;"",1+MAX($A$6:A50),"")</f>
        <v>28</v>
      </c>
      <c r="B51" s="83" t="s">
        <v>485</v>
      </c>
      <c r="C51" s="360" t="s">
        <v>486</v>
      </c>
      <c r="D51" s="436"/>
      <c r="E51" s="362" t="s">
        <v>489</v>
      </c>
      <c r="F51" s="264">
        <f>F49*0.08</f>
        <v>28</v>
      </c>
      <c r="G51" s="74">
        <v>0.1</v>
      </c>
      <c r="H51" s="75">
        <f t="shared" si="8"/>
        <v>30.800000000000004</v>
      </c>
      <c r="I51" s="76" t="s">
        <v>13</v>
      </c>
      <c r="J51" s="370">
        <f>J$43</f>
        <v>0</v>
      </c>
      <c r="K51" s="364">
        <f t="shared" si="9"/>
        <v>0</v>
      </c>
      <c r="L51" s="365"/>
    </row>
    <row r="52" spans="1:13" x14ac:dyDescent="0.2">
      <c r="A52" s="359">
        <f>IF(F52&lt;&gt;"",1+MAX($A$6:A51),"")</f>
        <v>29</v>
      </c>
      <c r="B52" s="83" t="s">
        <v>485</v>
      </c>
      <c r="C52" s="360" t="s">
        <v>486</v>
      </c>
      <c r="D52" s="436"/>
      <c r="E52" s="362" t="s">
        <v>494</v>
      </c>
      <c r="F52" s="264">
        <v>78.44</v>
      </c>
      <c r="G52" s="74">
        <v>0.1</v>
      </c>
      <c r="H52" s="75">
        <f t="shared" si="8"/>
        <v>86.284000000000006</v>
      </c>
      <c r="I52" s="76" t="s">
        <v>13</v>
      </c>
      <c r="J52" s="363">
        <v>0</v>
      </c>
      <c r="K52" s="364">
        <f t="shared" si="9"/>
        <v>0</v>
      </c>
      <c r="L52" s="365"/>
    </row>
    <row r="53" spans="1:13" x14ac:dyDescent="0.2">
      <c r="A53" s="359">
        <f>IF(F53&lt;&gt;"",1+MAX($A$6:A52),"")</f>
        <v>30</v>
      </c>
      <c r="B53" s="83" t="s">
        <v>485</v>
      </c>
      <c r="C53" s="360" t="s">
        <v>486</v>
      </c>
      <c r="D53" s="501"/>
      <c r="E53" s="362" t="s">
        <v>491</v>
      </c>
      <c r="F53" s="264">
        <f>F49*0.334/27</f>
        <v>4.3296296296296299</v>
      </c>
      <c r="G53" s="74">
        <v>0.1</v>
      </c>
      <c r="H53" s="75">
        <f t="shared" si="8"/>
        <v>4.7625925925925934</v>
      </c>
      <c r="I53" s="76" t="s">
        <v>458</v>
      </c>
      <c r="J53" s="370">
        <f>J$45</f>
        <v>0</v>
      </c>
      <c r="K53" s="364">
        <f t="shared" si="9"/>
        <v>0</v>
      </c>
      <c r="L53" s="365"/>
    </row>
    <row r="54" spans="1:13" x14ac:dyDescent="0.2">
      <c r="A54" s="359">
        <f>IF(F54&lt;&gt;"",1+MAX($A$6:A53),"")</f>
        <v>31</v>
      </c>
      <c r="B54" s="83" t="s">
        <v>485</v>
      </c>
      <c r="C54" s="360" t="s">
        <v>486</v>
      </c>
      <c r="D54" s="436"/>
      <c r="E54" s="362" t="s">
        <v>492</v>
      </c>
      <c r="F54" s="264">
        <f>F49</f>
        <v>350</v>
      </c>
      <c r="G54" s="74">
        <v>0.1</v>
      </c>
      <c r="H54" s="75">
        <f t="shared" si="8"/>
        <v>385.00000000000006</v>
      </c>
      <c r="I54" s="76" t="s">
        <v>16</v>
      </c>
      <c r="J54" s="370">
        <f>J$46</f>
        <v>0</v>
      </c>
      <c r="K54" s="364">
        <f t="shared" si="9"/>
        <v>0</v>
      </c>
      <c r="L54" s="365"/>
    </row>
    <row r="55" spans="1:13" ht="16.5" thickBot="1" x14ac:dyDescent="0.25">
      <c r="A55" s="359" t="str">
        <f>IF(F55&lt;&gt;"",1+MAX($A$6:A54),"")</f>
        <v/>
      </c>
      <c r="B55" s="83"/>
      <c r="C55" s="360"/>
      <c r="D55" s="366"/>
      <c r="E55" s="362"/>
      <c r="F55" s="264"/>
      <c r="G55" s="369"/>
      <c r="H55" s="75"/>
      <c r="I55" s="76"/>
      <c r="J55" s="76"/>
      <c r="K55" s="364"/>
      <c r="L55" s="365"/>
      <c r="M55" s="371"/>
    </row>
    <row r="56" spans="1:13" ht="16.5" thickBot="1" x14ac:dyDescent="0.25">
      <c r="A56" s="359" t="str">
        <f>IF(F56&lt;&gt;"",1+MAX($A$6:A55),"")</f>
        <v/>
      </c>
      <c r="B56" s="83"/>
      <c r="C56" s="266"/>
      <c r="D56" s="628"/>
      <c r="E56" s="432" t="s">
        <v>495</v>
      </c>
      <c r="F56" s="385"/>
      <c r="G56" s="386"/>
      <c r="H56" s="287"/>
      <c r="I56" s="288"/>
      <c r="J56" s="387"/>
      <c r="K56" s="629"/>
      <c r="L56" s="365"/>
    </row>
    <row r="57" spans="1:13" ht="47.25" x14ac:dyDescent="0.2">
      <c r="A57" s="359">
        <f>IF(F57&lt;&gt;"",1+MAX($A$6:A56),"")</f>
        <v>32</v>
      </c>
      <c r="B57" s="83" t="s">
        <v>485</v>
      </c>
      <c r="C57" s="360"/>
      <c r="D57" s="436">
        <f>H57*0.583/27</f>
        <v>83.06022592592592</v>
      </c>
      <c r="E57" s="372" t="s">
        <v>1043</v>
      </c>
      <c r="F57" s="264">
        <v>3497</v>
      </c>
      <c r="G57" s="74">
        <v>0.1</v>
      </c>
      <c r="H57" s="75">
        <f t="shared" si="8"/>
        <v>3846.7000000000003</v>
      </c>
      <c r="I57" s="76" t="s">
        <v>16</v>
      </c>
      <c r="J57" s="363">
        <v>0</v>
      </c>
      <c r="K57" s="364">
        <f t="shared" si="9"/>
        <v>0</v>
      </c>
      <c r="L57" s="365"/>
      <c r="M57" s="371"/>
    </row>
    <row r="58" spans="1:13" x14ac:dyDescent="0.2">
      <c r="A58" s="359">
        <f>IF(F58&lt;&gt;"",1+MAX($A$6:A57),"")</f>
        <v>33</v>
      </c>
      <c r="B58" s="83" t="s">
        <v>485</v>
      </c>
      <c r="C58" s="360" t="s">
        <v>486</v>
      </c>
      <c r="D58" s="501"/>
      <c r="E58" s="362" t="s">
        <v>488</v>
      </c>
      <c r="F58" s="264">
        <f>F57*0.16</f>
        <v>559.52</v>
      </c>
      <c r="G58" s="74">
        <v>0.1</v>
      </c>
      <c r="H58" s="75">
        <f t="shared" si="8"/>
        <v>615.47199999999998</v>
      </c>
      <c r="I58" s="76" t="s">
        <v>13</v>
      </c>
      <c r="J58" s="370">
        <f>J$42</f>
        <v>0</v>
      </c>
      <c r="K58" s="364">
        <f t="shared" si="9"/>
        <v>0</v>
      </c>
      <c r="L58" s="365"/>
    </row>
    <row r="59" spans="1:13" x14ac:dyDescent="0.2">
      <c r="A59" s="359">
        <f>IF(F59&lt;&gt;"",1+MAX($A$6:A58),"")</f>
        <v>34</v>
      </c>
      <c r="B59" s="83" t="s">
        <v>485</v>
      </c>
      <c r="C59" s="360" t="s">
        <v>486</v>
      </c>
      <c r="D59" s="436"/>
      <c r="E59" s="362" t="s">
        <v>489</v>
      </c>
      <c r="F59" s="264">
        <f>F57*0.08</f>
        <v>279.76</v>
      </c>
      <c r="G59" s="74">
        <v>0.1</v>
      </c>
      <c r="H59" s="75">
        <f t="shared" si="8"/>
        <v>307.73599999999999</v>
      </c>
      <c r="I59" s="76" t="s">
        <v>13</v>
      </c>
      <c r="J59" s="370">
        <f>J$43</f>
        <v>0</v>
      </c>
      <c r="K59" s="364">
        <f t="shared" si="9"/>
        <v>0</v>
      </c>
      <c r="L59" s="365"/>
    </row>
    <row r="60" spans="1:13" x14ac:dyDescent="0.2">
      <c r="A60" s="359">
        <f>IF(F60&lt;&gt;"",1+MAX($A$6:A59),"")</f>
        <v>35</v>
      </c>
      <c r="B60" s="83" t="s">
        <v>485</v>
      </c>
      <c r="C60" s="360" t="s">
        <v>486</v>
      </c>
      <c r="D60" s="436"/>
      <c r="E60" s="362" t="s">
        <v>496</v>
      </c>
      <c r="F60" s="264">
        <v>314.77</v>
      </c>
      <c r="G60" s="74">
        <v>0.1</v>
      </c>
      <c r="H60" s="75">
        <f t="shared" si="8"/>
        <v>346.24700000000001</v>
      </c>
      <c r="I60" s="76" t="s">
        <v>13</v>
      </c>
      <c r="J60" s="363">
        <v>0</v>
      </c>
      <c r="K60" s="364">
        <f t="shared" si="9"/>
        <v>0</v>
      </c>
      <c r="L60" s="365"/>
    </row>
    <row r="61" spans="1:13" x14ac:dyDescent="0.2">
      <c r="A61" s="359">
        <f>IF(F61&lt;&gt;"",1+MAX($A$6:A60),"")</f>
        <v>36</v>
      </c>
      <c r="B61" s="83" t="s">
        <v>485</v>
      </c>
      <c r="C61" s="360" t="s">
        <v>486</v>
      </c>
      <c r="D61" s="501"/>
      <c r="E61" s="362" t="s">
        <v>497</v>
      </c>
      <c r="F61" s="264">
        <f>F57*0.5/27</f>
        <v>64.759259259259252</v>
      </c>
      <c r="G61" s="74">
        <v>0.1</v>
      </c>
      <c r="H61" s="75">
        <f t="shared" si="8"/>
        <v>71.235185185185188</v>
      </c>
      <c r="I61" s="76" t="s">
        <v>458</v>
      </c>
      <c r="J61" s="370">
        <f>J$45</f>
        <v>0</v>
      </c>
      <c r="K61" s="364">
        <f t="shared" si="9"/>
        <v>0</v>
      </c>
      <c r="L61" s="365"/>
    </row>
    <row r="62" spans="1:13" x14ac:dyDescent="0.2">
      <c r="A62" s="359">
        <f>IF(F62&lt;&gt;"",1+MAX($A$6:A61),"")</f>
        <v>37</v>
      </c>
      <c r="B62" s="83" t="s">
        <v>485</v>
      </c>
      <c r="C62" s="360" t="s">
        <v>486</v>
      </c>
      <c r="D62" s="436"/>
      <c r="E62" s="362" t="s">
        <v>492</v>
      </c>
      <c r="F62" s="264">
        <f>F57</f>
        <v>3497</v>
      </c>
      <c r="G62" s="74">
        <v>0.1</v>
      </c>
      <c r="H62" s="75">
        <f t="shared" si="8"/>
        <v>3846.7000000000003</v>
      </c>
      <c r="I62" s="76" t="s">
        <v>16</v>
      </c>
      <c r="J62" s="370">
        <f>J$46</f>
        <v>0</v>
      </c>
      <c r="K62" s="364">
        <f t="shared" si="9"/>
        <v>0</v>
      </c>
      <c r="L62" s="365"/>
    </row>
    <row r="63" spans="1:13" ht="16.5" thickBot="1" x14ac:dyDescent="0.25">
      <c r="A63" s="359" t="str">
        <f>IF(F63&lt;&gt;"",1+MAX($A$6:A62),"")</f>
        <v/>
      </c>
      <c r="B63" s="83"/>
      <c r="C63" s="360"/>
      <c r="D63" s="366"/>
      <c r="E63" s="362"/>
      <c r="F63" s="264"/>
      <c r="G63" s="369"/>
      <c r="H63" s="75"/>
      <c r="I63" s="76"/>
      <c r="J63" s="76"/>
      <c r="K63" s="364"/>
      <c r="L63" s="365"/>
      <c r="M63" s="371"/>
    </row>
    <row r="64" spans="1:13" ht="16.5" thickBot="1" x14ac:dyDescent="0.25">
      <c r="A64" s="359" t="str">
        <f>IF(F64&lt;&gt;"",1+MAX($A$6:A63),"")</f>
        <v/>
      </c>
      <c r="B64" s="83"/>
      <c r="C64" s="266"/>
      <c r="D64" s="628"/>
      <c r="E64" s="432" t="s">
        <v>498</v>
      </c>
      <c r="F64" s="385"/>
      <c r="G64" s="386"/>
      <c r="H64" s="287"/>
      <c r="I64" s="288"/>
      <c r="J64" s="387"/>
      <c r="K64" s="629"/>
      <c r="L64" s="365"/>
    </row>
    <row r="65" spans="1:13" x14ac:dyDescent="0.2">
      <c r="A65" s="359">
        <f>IF(F65&lt;&gt;"",1+MAX($A$6:A64),"")</f>
        <v>38</v>
      </c>
      <c r="B65" s="83" t="s">
        <v>485</v>
      </c>
      <c r="C65" s="502" t="s">
        <v>429</v>
      </c>
      <c r="D65" s="366"/>
      <c r="E65" s="372" t="s">
        <v>499</v>
      </c>
      <c r="F65" s="264">
        <v>595</v>
      </c>
      <c r="G65" s="74">
        <v>0.1</v>
      </c>
      <c r="H65" s="75">
        <f t="shared" si="8"/>
        <v>654.5</v>
      </c>
      <c r="I65" s="76" t="s">
        <v>16</v>
      </c>
      <c r="J65" s="363">
        <v>0</v>
      </c>
      <c r="K65" s="364">
        <f t="shared" si="9"/>
        <v>0</v>
      </c>
      <c r="L65" s="365"/>
      <c r="M65" s="371"/>
    </row>
    <row r="66" spans="1:13" x14ac:dyDescent="0.2">
      <c r="A66" s="359">
        <f>IF(F66&lt;&gt;"",1+MAX($A$6:A65),"")</f>
        <v>39</v>
      </c>
      <c r="B66" s="83" t="s">
        <v>485</v>
      </c>
      <c r="C66" s="502" t="s">
        <v>429</v>
      </c>
      <c r="D66" s="436"/>
      <c r="E66" s="362" t="s">
        <v>500</v>
      </c>
      <c r="F66" s="264">
        <f>F65</f>
        <v>595</v>
      </c>
      <c r="G66" s="74">
        <v>0.1</v>
      </c>
      <c r="H66" s="75">
        <f t="shared" si="8"/>
        <v>654.5</v>
      </c>
      <c r="I66" s="76" t="s">
        <v>16</v>
      </c>
      <c r="J66" s="363">
        <v>0</v>
      </c>
      <c r="K66" s="364">
        <f t="shared" si="9"/>
        <v>0</v>
      </c>
      <c r="L66" s="365"/>
    </row>
    <row r="67" spans="1:13" x14ac:dyDescent="0.2">
      <c r="A67" s="359">
        <f>IF(F67&lt;&gt;"",1+MAX($A$6:A66),"")</f>
        <v>40</v>
      </c>
      <c r="B67" s="83" t="s">
        <v>485</v>
      </c>
      <c r="C67" s="502" t="s">
        <v>429</v>
      </c>
      <c r="D67" s="436"/>
      <c r="E67" s="362" t="s">
        <v>492</v>
      </c>
      <c r="F67" s="264">
        <f>F65</f>
        <v>595</v>
      </c>
      <c r="G67" s="74">
        <v>0.1</v>
      </c>
      <c r="H67" s="75">
        <f t="shared" si="8"/>
        <v>654.5</v>
      </c>
      <c r="I67" s="76" t="s">
        <v>16</v>
      </c>
      <c r="J67" s="370">
        <f>J$46</f>
        <v>0</v>
      </c>
      <c r="K67" s="364">
        <f t="shared" si="9"/>
        <v>0</v>
      </c>
      <c r="L67" s="365"/>
    </row>
    <row r="68" spans="1:13" ht="31.5" x14ac:dyDescent="0.2">
      <c r="A68" s="359" t="str">
        <f>IF(F68&lt;&gt;"",1+MAX($A$6:A67),"")</f>
        <v/>
      </c>
      <c r="B68" s="83"/>
      <c r="C68" s="360"/>
      <c r="D68" s="366"/>
      <c r="E68" s="503" t="s">
        <v>501</v>
      </c>
      <c r="F68" s="264"/>
      <c r="G68" s="369"/>
      <c r="H68" s="75"/>
      <c r="I68" s="76"/>
      <c r="J68" s="76"/>
      <c r="K68" s="364"/>
      <c r="L68" s="365"/>
      <c r="M68" s="371"/>
    </row>
    <row r="69" spans="1:13" ht="16.5" thickBot="1" x14ac:dyDescent="0.25">
      <c r="A69" s="359" t="str">
        <f>IF(F69&lt;&gt;"",1+MAX($A$6:A68),"")</f>
        <v/>
      </c>
      <c r="B69" s="83"/>
      <c r="C69" s="360"/>
      <c r="D69" s="366"/>
      <c r="E69" s="362"/>
      <c r="F69" s="264"/>
      <c r="G69" s="369"/>
      <c r="H69" s="75"/>
      <c r="I69" s="76"/>
      <c r="J69" s="76"/>
      <c r="K69" s="364"/>
      <c r="L69" s="365"/>
      <c r="M69" s="371"/>
    </row>
    <row r="70" spans="1:13" ht="16.5" thickBot="1" x14ac:dyDescent="0.25">
      <c r="A70" s="359" t="str">
        <f>IF(F70&lt;&gt;"",1+MAX($A$6:A69),"")</f>
        <v/>
      </c>
      <c r="B70" s="83"/>
      <c r="C70" s="266"/>
      <c r="D70" s="628"/>
      <c r="E70" s="432" t="s">
        <v>498</v>
      </c>
      <c r="F70" s="385"/>
      <c r="G70" s="386"/>
      <c r="H70" s="287"/>
      <c r="I70" s="288"/>
      <c r="J70" s="387"/>
      <c r="K70" s="629"/>
      <c r="L70" s="365"/>
    </row>
    <row r="71" spans="1:13" x14ac:dyDescent="0.2">
      <c r="A71" s="359">
        <f>IF(F71&lt;&gt;"",1+MAX($A$6:A70),"")</f>
        <v>41</v>
      </c>
      <c r="B71" s="83" t="s">
        <v>485</v>
      </c>
      <c r="C71" s="360" t="s">
        <v>486</v>
      </c>
      <c r="D71" s="366"/>
      <c r="E71" s="372" t="s">
        <v>502</v>
      </c>
      <c r="F71" s="264">
        <v>24.59</v>
      </c>
      <c r="G71" s="74">
        <v>0.1</v>
      </c>
      <c r="H71" s="75">
        <f t="shared" ref="H71:H76" si="10">F71*(1+G71)</f>
        <v>27.049000000000003</v>
      </c>
      <c r="I71" s="76" t="s">
        <v>13</v>
      </c>
      <c r="J71" s="363">
        <v>0</v>
      </c>
      <c r="K71" s="364">
        <f t="shared" ref="K71:K76" si="11">J71*H71</f>
        <v>0</v>
      </c>
      <c r="L71" s="365"/>
      <c r="M71" s="371"/>
    </row>
    <row r="72" spans="1:13" x14ac:dyDescent="0.2">
      <c r="A72" s="359">
        <f>IF(F72&lt;&gt;"",1+MAX($A$6:A71),"")</f>
        <v>42</v>
      </c>
      <c r="B72" s="83" t="s">
        <v>485</v>
      </c>
      <c r="C72" s="360" t="s">
        <v>486</v>
      </c>
      <c r="D72" s="366"/>
      <c r="E72" s="372" t="s">
        <v>503</v>
      </c>
      <c r="F72" s="264">
        <f>166.64+354.1</f>
        <v>520.74</v>
      </c>
      <c r="G72" s="74">
        <v>0.1</v>
      </c>
      <c r="H72" s="75">
        <f t="shared" si="10"/>
        <v>572.81400000000008</v>
      </c>
      <c r="I72" s="76" t="s">
        <v>13</v>
      </c>
      <c r="J72" s="439">
        <f>J$71</f>
        <v>0</v>
      </c>
      <c r="K72" s="364">
        <f t="shared" si="11"/>
        <v>0</v>
      </c>
      <c r="L72" s="365"/>
      <c r="M72" s="371"/>
    </row>
    <row r="73" spans="1:13" x14ac:dyDescent="0.2">
      <c r="A73" s="359">
        <f>IF(F73&lt;&gt;"",1+MAX($A$6:A72),"")</f>
        <v>43</v>
      </c>
      <c r="B73" s="83" t="s">
        <v>485</v>
      </c>
      <c r="C73" s="360" t="s">
        <v>486</v>
      </c>
      <c r="D73" s="366"/>
      <c r="E73" s="372" t="s">
        <v>504</v>
      </c>
      <c r="F73" s="264">
        <v>1</v>
      </c>
      <c r="G73" s="74">
        <v>0</v>
      </c>
      <c r="H73" s="75">
        <f t="shared" si="10"/>
        <v>1</v>
      </c>
      <c r="I73" s="76" t="s">
        <v>18</v>
      </c>
      <c r="J73" s="363">
        <v>0</v>
      </c>
      <c r="K73" s="364">
        <f t="shared" si="11"/>
        <v>0</v>
      </c>
      <c r="L73" s="365"/>
      <c r="M73" s="373"/>
    </row>
    <row r="74" spans="1:13" x14ac:dyDescent="0.2">
      <c r="A74" s="359">
        <f>IF(F74&lt;&gt;"",1+MAX($A$6:A73),"")</f>
        <v>44</v>
      </c>
      <c r="B74" s="83" t="s">
        <v>485</v>
      </c>
      <c r="C74" s="360" t="s">
        <v>486</v>
      </c>
      <c r="D74" s="366"/>
      <c r="E74" s="372" t="s">
        <v>505</v>
      </c>
      <c r="F74" s="264">
        <v>2</v>
      </c>
      <c r="G74" s="74">
        <v>0</v>
      </c>
      <c r="H74" s="75">
        <f t="shared" si="10"/>
        <v>2</v>
      </c>
      <c r="I74" s="76" t="s">
        <v>18</v>
      </c>
      <c r="J74" s="363">
        <v>0</v>
      </c>
      <c r="K74" s="364">
        <f t="shared" si="11"/>
        <v>0</v>
      </c>
      <c r="L74" s="365"/>
      <c r="M74" s="371"/>
    </row>
    <row r="75" spans="1:13" x14ac:dyDescent="0.2">
      <c r="A75" s="359">
        <f>IF(F75&lt;&gt;"",1+MAX($A$6:A74),"")</f>
        <v>45</v>
      </c>
      <c r="B75" s="83" t="s">
        <v>485</v>
      </c>
      <c r="C75" s="360" t="s">
        <v>486</v>
      </c>
      <c r="D75" s="366"/>
      <c r="E75" s="372" t="s">
        <v>506</v>
      </c>
      <c r="F75" s="264">
        <v>1</v>
      </c>
      <c r="G75" s="74">
        <v>0</v>
      </c>
      <c r="H75" s="75">
        <f t="shared" si="10"/>
        <v>1</v>
      </c>
      <c r="I75" s="76" t="s">
        <v>18</v>
      </c>
      <c r="J75" s="363">
        <v>0</v>
      </c>
      <c r="K75" s="364">
        <f t="shared" si="11"/>
        <v>0</v>
      </c>
      <c r="L75" s="365"/>
      <c r="M75" s="371"/>
    </row>
    <row r="76" spans="1:13" x14ac:dyDescent="0.2">
      <c r="A76" s="359">
        <f>IF(F76&lt;&gt;"",1+MAX($A$6:A75),"")</f>
        <v>46</v>
      </c>
      <c r="B76" s="83" t="s">
        <v>485</v>
      </c>
      <c r="C76" s="360" t="s">
        <v>486</v>
      </c>
      <c r="D76" s="366"/>
      <c r="E76" s="372" t="s">
        <v>507</v>
      </c>
      <c r="F76" s="264">
        <v>1</v>
      </c>
      <c r="G76" s="74">
        <v>0</v>
      </c>
      <c r="H76" s="75">
        <f t="shared" si="10"/>
        <v>1</v>
      </c>
      <c r="I76" s="76" t="s">
        <v>18</v>
      </c>
      <c r="J76" s="363">
        <v>0</v>
      </c>
      <c r="K76" s="364">
        <f t="shared" si="11"/>
        <v>0</v>
      </c>
      <c r="L76" s="365"/>
      <c r="M76" s="371"/>
    </row>
    <row r="77" spans="1:13" ht="16.5" thickBot="1" x14ac:dyDescent="0.25">
      <c r="A77" s="359" t="str">
        <f>IF(F77&lt;&gt;"",1+MAX($A$6:A76),"")</f>
        <v/>
      </c>
      <c r="B77" s="83"/>
      <c r="C77" s="360"/>
      <c r="D77" s="366"/>
      <c r="E77" s="362"/>
      <c r="F77" s="264"/>
      <c r="G77" s="369"/>
      <c r="H77" s="75"/>
      <c r="I77" s="76"/>
      <c r="J77" s="76"/>
      <c r="K77" s="364"/>
      <c r="L77" s="365"/>
      <c r="M77" s="371"/>
    </row>
    <row r="78" spans="1:13" ht="16.5" thickBot="1" x14ac:dyDescent="0.25">
      <c r="A78" s="359" t="str">
        <f>IF(F78&lt;&gt;"",1+MAX($A$6:A77),"")</f>
        <v/>
      </c>
      <c r="B78" s="83"/>
      <c r="C78" s="266"/>
      <c r="D78" s="628"/>
      <c r="E78" s="432" t="s">
        <v>508</v>
      </c>
      <c r="F78" s="385"/>
      <c r="G78" s="386"/>
      <c r="H78" s="287"/>
      <c r="I78" s="288"/>
      <c r="J78" s="387"/>
      <c r="K78" s="629"/>
      <c r="L78" s="365"/>
    </row>
    <row r="79" spans="1:13" x14ac:dyDescent="0.2">
      <c r="A79" s="359">
        <f>IF(F79&lt;&gt;"",1+MAX($A$6:A78),"")</f>
        <v>47</v>
      </c>
      <c r="B79" s="83" t="s">
        <v>485</v>
      </c>
      <c r="C79" s="360" t="s">
        <v>486</v>
      </c>
      <c r="D79" s="366"/>
      <c r="E79" s="372" t="s">
        <v>509</v>
      </c>
      <c r="F79" s="264">
        <v>30.5</v>
      </c>
      <c r="G79" s="74">
        <v>0.1</v>
      </c>
      <c r="H79" s="75">
        <f t="shared" ref="H79:H93" si="12">F79*(1+G79)</f>
        <v>33.550000000000004</v>
      </c>
      <c r="I79" s="76" t="s">
        <v>13</v>
      </c>
      <c r="J79" s="363">
        <v>0</v>
      </c>
      <c r="K79" s="364">
        <f t="shared" ref="K79:K93" si="13">J79*H79</f>
        <v>0</v>
      </c>
      <c r="L79" s="365"/>
      <c r="M79" s="373"/>
    </row>
    <row r="80" spans="1:13" x14ac:dyDescent="0.2">
      <c r="A80" s="359">
        <f>IF(F80&lt;&gt;"",1+MAX($A$6:A79),"")</f>
        <v>48</v>
      </c>
      <c r="B80" s="83" t="s">
        <v>485</v>
      </c>
      <c r="C80" s="360" t="s">
        <v>486</v>
      </c>
      <c r="D80" s="366"/>
      <c r="E80" s="372" t="s">
        <v>510</v>
      </c>
      <c r="F80" s="264">
        <v>24</v>
      </c>
      <c r="G80" s="74">
        <v>0.1</v>
      </c>
      <c r="H80" s="75">
        <f t="shared" si="12"/>
        <v>26.400000000000002</v>
      </c>
      <c r="I80" s="76" t="s">
        <v>13</v>
      </c>
      <c r="J80" s="439">
        <f>J$79</f>
        <v>0</v>
      </c>
      <c r="K80" s="364">
        <f t="shared" si="13"/>
        <v>0</v>
      </c>
      <c r="L80" s="365"/>
      <c r="M80" s="371"/>
    </row>
    <row r="81" spans="1:13" s="351" customFormat="1" ht="16.5" thickBot="1" x14ac:dyDescent="0.25">
      <c r="A81" s="359" t="str">
        <f>IF(F81&lt;&gt;"",1+MAX($A$6:A80),"")</f>
        <v/>
      </c>
      <c r="B81" s="83"/>
      <c r="C81" s="360"/>
      <c r="D81" s="366"/>
      <c r="E81" s="706"/>
      <c r="F81" s="81"/>
      <c r="G81" s="369"/>
      <c r="H81" s="82"/>
      <c r="I81" s="83"/>
      <c r="J81" s="439"/>
      <c r="K81" s="440"/>
      <c r="L81" s="365"/>
      <c r="M81" s="707"/>
    </row>
    <row r="82" spans="1:13" ht="16.5" thickBot="1" x14ac:dyDescent="0.25">
      <c r="A82" s="359" t="str">
        <f>IF(F82&lt;&gt;"",1+MAX($A$6:A81),"")</f>
        <v/>
      </c>
      <c r="B82" s="83"/>
      <c r="C82" s="266"/>
      <c r="D82" s="628"/>
      <c r="E82" s="432" t="s">
        <v>511</v>
      </c>
      <c r="F82" s="385"/>
      <c r="G82" s="386"/>
      <c r="H82" s="287"/>
      <c r="I82" s="288"/>
      <c r="J82" s="387"/>
      <c r="K82" s="629"/>
      <c r="L82" s="365"/>
    </row>
    <row r="83" spans="1:13" ht="63" x14ac:dyDescent="0.2">
      <c r="A83" s="359" t="str">
        <f>IF(F83&lt;&gt;"",1+MAX($A$6:A82),"")</f>
        <v/>
      </c>
      <c r="B83" s="83"/>
      <c r="C83" s="360"/>
      <c r="D83" s="366"/>
      <c r="E83" s="390" t="s">
        <v>512</v>
      </c>
      <c r="F83" s="264"/>
      <c r="G83" s="369"/>
      <c r="H83" s="75"/>
      <c r="I83" s="76"/>
      <c r="J83" s="370"/>
      <c r="K83" s="364"/>
      <c r="L83" s="365"/>
      <c r="M83" s="371"/>
    </row>
    <row r="84" spans="1:13" x14ac:dyDescent="0.2">
      <c r="A84" s="359">
        <f>IF(F84&lt;&gt;"",1+MAX($A$6:A83),"")</f>
        <v>49</v>
      </c>
      <c r="B84" s="83" t="s">
        <v>485</v>
      </c>
      <c r="C84" s="502" t="s">
        <v>429</v>
      </c>
      <c r="D84" s="436"/>
      <c r="E84" s="362" t="s">
        <v>513</v>
      </c>
      <c r="F84" s="264">
        <f>3.14*1.5*1.5*0.25*3*18/27</f>
        <v>3.5324999999999998</v>
      </c>
      <c r="G84" s="74">
        <v>0.1</v>
      </c>
      <c r="H84" s="75">
        <f t="shared" ref="H84:H87" si="14">F84*(1+G84)</f>
        <v>3.8857500000000003</v>
      </c>
      <c r="I84" s="76" t="s">
        <v>458</v>
      </c>
      <c r="J84" s="363">
        <v>0</v>
      </c>
      <c r="K84" s="364">
        <f t="shared" ref="K84:K87" si="15">J84*H84</f>
        <v>0</v>
      </c>
      <c r="L84" s="365"/>
    </row>
    <row r="85" spans="1:13" x14ac:dyDescent="0.2">
      <c r="A85" s="359">
        <f>IF(F85&lt;&gt;"",1+MAX($A$6:A84),"")</f>
        <v>50</v>
      </c>
      <c r="B85" s="83" t="s">
        <v>485</v>
      </c>
      <c r="C85" s="502" t="s">
        <v>429</v>
      </c>
      <c r="D85" s="436"/>
      <c r="E85" s="362" t="s">
        <v>514</v>
      </c>
      <c r="F85" s="264">
        <f>3.14*1.5*3*18</f>
        <v>254.33999999999997</v>
      </c>
      <c r="G85" s="74">
        <v>0.1</v>
      </c>
      <c r="H85" s="75">
        <f t="shared" si="14"/>
        <v>279.774</v>
      </c>
      <c r="I85" s="76" t="s">
        <v>515</v>
      </c>
      <c r="J85" s="363">
        <v>0</v>
      </c>
      <c r="K85" s="364">
        <f t="shared" si="15"/>
        <v>0</v>
      </c>
      <c r="L85" s="365"/>
    </row>
    <row r="86" spans="1:13" x14ac:dyDescent="0.2">
      <c r="A86" s="359">
        <f>IF(F86&lt;&gt;"",1+MAX($A$6:A85),"")</f>
        <v>51</v>
      </c>
      <c r="B86" s="83" t="s">
        <v>485</v>
      </c>
      <c r="C86" s="502" t="s">
        <v>429</v>
      </c>
      <c r="D86" s="436"/>
      <c r="E86" s="362" t="s">
        <v>516</v>
      </c>
      <c r="F86" s="264">
        <f>3.14*2*2*0.25*3*18/27</f>
        <v>6.28</v>
      </c>
      <c r="G86" s="74">
        <v>0.1</v>
      </c>
      <c r="H86" s="75">
        <f t="shared" si="14"/>
        <v>6.9080000000000013</v>
      </c>
      <c r="I86" s="76" t="s">
        <v>458</v>
      </c>
      <c r="J86" s="363">
        <v>0</v>
      </c>
      <c r="K86" s="364">
        <f t="shared" si="15"/>
        <v>0</v>
      </c>
      <c r="L86" s="365"/>
    </row>
    <row r="87" spans="1:13" x14ac:dyDescent="0.2">
      <c r="A87" s="359">
        <f>IF(F87&lt;&gt;"",1+MAX($A$6:A86),"")</f>
        <v>52</v>
      </c>
      <c r="B87" s="83" t="s">
        <v>485</v>
      </c>
      <c r="C87" s="502" t="s">
        <v>429</v>
      </c>
      <c r="D87" s="436"/>
      <c r="E87" s="362" t="s">
        <v>517</v>
      </c>
      <c r="F87" s="264">
        <f>F86-F84</f>
        <v>2.7475000000000005</v>
      </c>
      <c r="G87" s="74">
        <v>0.1</v>
      </c>
      <c r="H87" s="75">
        <f t="shared" si="14"/>
        <v>3.022250000000001</v>
      </c>
      <c r="I87" s="76" t="s">
        <v>458</v>
      </c>
      <c r="J87" s="363">
        <v>0</v>
      </c>
      <c r="K87" s="364">
        <f t="shared" si="15"/>
        <v>0</v>
      </c>
      <c r="L87" s="365"/>
    </row>
    <row r="88" spans="1:13" ht="63" x14ac:dyDescent="0.2">
      <c r="A88" s="359">
        <f>IF(F88&lt;&gt;"",1+MAX($A$6:A87),"")</f>
        <v>53</v>
      </c>
      <c r="B88" s="83" t="s">
        <v>485</v>
      </c>
      <c r="C88" s="502" t="s">
        <v>429</v>
      </c>
      <c r="D88" s="366"/>
      <c r="E88" s="372" t="s">
        <v>518</v>
      </c>
      <c r="F88" s="264">
        <v>99.57</v>
      </c>
      <c r="G88" s="74">
        <v>0.1</v>
      </c>
      <c r="H88" s="75">
        <f t="shared" si="12"/>
        <v>109.527</v>
      </c>
      <c r="I88" s="76" t="s">
        <v>13</v>
      </c>
      <c r="J88" s="363">
        <v>0</v>
      </c>
      <c r="K88" s="364">
        <f t="shared" si="13"/>
        <v>0</v>
      </c>
      <c r="L88" s="365"/>
      <c r="M88" s="371"/>
    </row>
    <row r="89" spans="1:13" x14ac:dyDescent="0.2">
      <c r="A89" s="359" t="str">
        <f>IF(F89&lt;&gt;"",1+MAX($A$6:A88),"")</f>
        <v/>
      </c>
      <c r="B89" s="83"/>
      <c r="C89" s="360"/>
      <c r="D89" s="366"/>
      <c r="E89" s="362"/>
      <c r="F89" s="264"/>
      <c r="G89" s="369"/>
      <c r="H89" s="75"/>
      <c r="I89" s="76"/>
      <c r="J89" s="76"/>
      <c r="K89" s="364"/>
      <c r="L89" s="365"/>
      <c r="M89" s="371"/>
    </row>
    <row r="90" spans="1:13" ht="63" x14ac:dyDescent="0.2">
      <c r="A90" s="359" t="str">
        <f>IF(F90&lt;&gt;"",1+MAX($A$6:A89),"")</f>
        <v/>
      </c>
      <c r="B90" s="83"/>
      <c r="C90" s="360"/>
      <c r="D90" s="366"/>
      <c r="E90" s="390" t="s">
        <v>519</v>
      </c>
      <c r="F90" s="264"/>
      <c r="G90" s="369"/>
      <c r="H90" s="75"/>
      <c r="I90" s="76"/>
      <c r="J90" s="370"/>
      <c r="K90" s="364"/>
      <c r="L90" s="365"/>
      <c r="M90" s="371"/>
    </row>
    <row r="91" spans="1:13" x14ac:dyDescent="0.2">
      <c r="A91" s="359">
        <f>IF(F91&lt;&gt;"",1+MAX($A$6:A90),"")</f>
        <v>54</v>
      </c>
      <c r="B91" s="83" t="s">
        <v>485</v>
      </c>
      <c r="C91" s="502" t="s">
        <v>429</v>
      </c>
      <c r="D91" s="436"/>
      <c r="E91" s="362" t="s">
        <v>513</v>
      </c>
      <c r="F91" s="264">
        <f>3.14*1.5*1.5*0.25*3*10/27</f>
        <v>1.9624999999999999</v>
      </c>
      <c r="G91" s="74">
        <v>0.1</v>
      </c>
      <c r="H91" s="75">
        <f t="shared" si="12"/>
        <v>2.1587499999999999</v>
      </c>
      <c r="I91" s="76" t="s">
        <v>458</v>
      </c>
      <c r="J91" s="370">
        <f>J$84</f>
        <v>0</v>
      </c>
      <c r="K91" s="364">
        <f t="shared" si="13"/>
        <v>0</v>
      </c>
      <c r="L91" s="365"/>
    </row>
    <row r="92" spans="1:13" x14ac:dyDescent="0.2">
      <c r="A92" s="359">
        <f>IF(F92&lt;&gt;"",1+MAX($A$6:A91),"")</f>
        <v>55</v>
      </c>
      <c r="B92" s="83" t="s">
        <v>485</v>
      </c>
      <c r="C92" s="502" t="s">
        <v>429</v>
      </c>
      <c r="D92" s="436"/>
      <c r="E92" s="362" t="s">
        <v>1047</v>
      </c>
      <c r="F92" s="264">
        <v>10</v>
      </c>
      <c r="G92" s="74">
        <v>0.1</v>
      </c>
      <c r="H92" s="75">
        <f t="shared" si="12"/>
        <v>11</v>
      </c>
      <c r="I92" s="76" t="s">
        <v>1046</v>
      </c>
      <c r="J92" s="363">
        <v>0</v>
      </c>
      <c r="K92" s="364">
        <f t="shared" si="13"/>
        <v>0</v>
      </c>
      <c r="L92" s="365"/>
    </row>
    <row r="93" spans="1:13" ht="78.75" x14ac:dyDescent="0.2">
      <c r="A93" s="359">
        <f>IF(F93&lt;&gt;"",1+MAX($A$6:A92),"")</f>
        <v>56</v>
      </c>
      <c r="B93" s="83" t="s">
        <v>485</v>
      </c>
      <c r="C93" s="502" t="s">
        <v>429</v>
      </c>
      <c r="D93" s="366"/>
      <c r="E93" s="372" t="s">
        <v>520</v>
      </c>
      <c r="F93" s="264">
        <v>53.02</v>
      </c>
      <c r="G93" s="74">
        <v>0.1</v>
      </c>
      <c r="H93" s="75">
        <f t="shared" si="12"/>
        <v>58.32200000000001</v>
      </c>
      <c r="I93" s="76" t="s">
        <v>13</v>
      </c>
      <c r="J93" s="370">
        <f>J$88</f>
        <v>0</v>
      </c>
      <c r="K93" s="364">
        <f t="shared" si="13"/>
        <v>0</v>
      </c>
      <c r="L93" s="365"/>
      <c r="M93" s="371"/>
    </row>
    <row r="94" spans="1:13" ht="31.5" x14ac:dyDescent="0.2">
      <c r="A94" s="359" t="str">
        <f>IF(F94&lt;&gt;"",1+MAX($A$6:A93),"")</f>
        <v/>
      </c>
      <c r="B94" s="83"/>
      <c r="C94" s="360"/>
      <c r="D94" s="366"/>
      <c r="E94" s="503" t="s">
        <v>521</v>
      </c>
      <c r="F94" s="264"/>
      <c r="G94" s="369"/>
      <c r="H94" s="75"/>
      <c r="I94" s="76"/>
      <c r="J94" s="76"/>
      <c r="K94" s="364"/>
      <c r="L94" s="365"/>
      <c r="M94" s="371"/>
    </row>
    <row r="95" spans="1:13" x14ac:dyDescent="0.2">
      <c r="A95" s="359" t="str">
        <f>IF(F95&lt;&gt;"",1+MAX($A$6:A94),"")</f>
        <v/>
      </c>
      <c r="B95" s="83"/>
      <c r="C95" s="360"/>
      <c r="D95" s="366"/>
      <c r="E95" s="362"/>
      <c r="F95" s="264"/>
      <c r="G95" s="369"/>
      <c r="H95" s="75"/>
      <c r="I95" s="76"/>
      <c r="J95" s="76"/>
      <c r="K95" s="364"/>
      <c r="L95" s="365"/>
      <c r="M95" s="371"/>
    </row>
    <row r="96" spans="1:13" ht="16.5" thickBot="1" x14ac:dyDescent="0.25">
      <c r="A96" s="359" t="str">
        <f>IF(F96&lt;&gt;"",1+MAX($A$6:A95),"")</f>
        <v/>
      </c>
      <c r="B96" s="83"/>
      <c r="C96" s="360"/>
      <c r="D96" s="366"/>
      <c r="E96" s="362"/>
      <c r="F96" s="264"/>
      <c r="G96" s="369"/>
      <c r="H96" s="75"/>
      <c r="I96" s="76"/>
      <c r="J96" s="76"/>
      <c r="K96" s="364"/>
      <c r="L96" s="365"/>
      <c r="M96" s="371"/>
    </row>
    <row r="97" spans="1:13" ht="16.5" thickBot="1" x14ac:dyDescent="0.25">
      <c r="A97" s="359" t="str">
        <f>IF(F97&lt;&gt;"",1+MAX($A$6:A96),"")</f>
        <v/>
      </c>
      <c r="B97" s="83"/>
      <c r="C97" s="266"/>
      <c r="D97" s="628"/>
      <c r="E97" s="432" t="s">
        <v>522</v>
      </c>
      <c r="F97" s="385"/>
      <c r="G97" s="386"/>
      <c r="H97" s="287"/>
      <c r="I97" s="288"/>
      <c r="J97" s="387"/>
      <c r="K97" s="629"/>
      <c r="L97" s="365"/>
    </row>
    <row r="98" spans="1:13" ht="63" x14ac:dyDescent="0.2">
      <c r="A98" s="359" t="str">
        <f>IF(F98&lt;&gt;"",1+MAX($A$6:A97),"")</f>
        <v/>
      </c>
      <c r="B98" s="83"/>
      <c r="C98" s="360"/>
      <c r="D98" s="366"/>
      <c r="E98" s="390" t="s">
        <v>523</v>
      </c>
      <c r="F98" s="264"/>
      <c r="G98" s="369"/>
      <c r="H98" s="75"/>
      <c r="I98" s="76"/>
      <c r="J98" s="370"/>
      <c r="K98" s="364"/>
      <c r="L98" s="365"/>
      <c r="M98" s="371"/>
    </row>
    <row r="99" spans="1:13" x14ac:dyDescent="0.2">
      <c r="A99" s="359">
        <f>IF(F99&lt;&gt;"",1+MAX($A$6:A98),"")</f>
        <v>57</v>
      </c>
      <c r="B99" s="83" t="s">
        <v>485</v>
      </c>
      <c r="C99" s="502" t="s">
        <v>429</v>
      </c>
      <c r="D99" s="436"/>
      <c r="E99" s="362" t="s">
        <v>513</v>
      </c>
      <c r="F99" s="391">
        <f>3.14*1.5*1.5*0.25*3/27</f>
        <v>0.19625000000000001</v>
      </c>
      <c r="G99" s="74">
        <v>0.1</v>
      </c>
      <c r="H99" s="75">
        <f t="shared" ref="H99:H106" si="16">F99*(1+G99)</f>
        <v>0.21587500000000004</v>
      </c>
      <c r="I99" s="76" t="s">
        <v>458</v>
      </c>
      <c r="J99" s="370">
        <f>J$84</f>
        <v>0</v>
      </c>
      <c r="K99" s="364">
        <f t="shared" ref="K99:K106" si="17">J99*H99</f>
        <v>0</v>
      </c>
      <c r="L99" s="365"/>
    </row>
    <row r="100" spans="1:13" x14ac:dyDescent="0.2">
      <c r="A100" s="359">
        <f>IF(F100&lt;&gt;"",1+MAX($A$6:A99),"")</f>
        <v>58</v>
      </c>
      <c r="B100" s="83" t="s">
        <v>485</v>
      </c>
      <c r="C100" s="502" t="s">
        <v>429</v>
      </c>
      <c r="D100" s="436"/>
      <c r="E100" s="362" t="s">
        <v>514</v>
      </c>
      <c r="F100" s="264">
        <f>3.14*1.5*3</f>
        <v>14.129999999999999</v>
      </c>
      <c r="G100" s="74">
        <v>0.1</v>
      </c>
      <c r="H100" s="75">
        <f t="shared" si="16"/>
        <v>15.543000000000001</v>
      </c>
      <c r="I100" s="76" t="s">
        <v>515</v>
      </c>
      <c r="J100" s="370">
        <f>J$85</f>
        <v>0</v>
      </c>
      <c r="K100" s="364">
        <f t="shared" si="17"/>
        <v>0</v>
      </c>
      <c r="L100" s="365"/>
    </row>
    <row r="101" spans="1:13" x14ac:dyDescent="0.2">
      <c r="A101" s="359">
        <f>IF(F101&lt;&gt;"",1+MAX($A$6:A100),"")</f>
        <v>59</v>
      </c>
      <c r="B101" s="83" t="s">
        <v>485</v>
      </c>
      <c r="C101" s="502" t="s">
        <v>429</v>
      </c>
      <c r="D101" s="436"/>
      <c r="E101" s="362" t="s">
        <v>516</v>
      </c>
      <c r="F101" s="391">
        <f>3.14*2*2*0.25*3/27</f>
        <v>0.34888888888888886</v>
      </c>
      <c r="G101" s="74">
        <v>0.1</v>
      </c>
      <c r="H101" s="75">
        <f t="shared" si="16"/>
        <v>0.38377777777777777</v>
      </c>
      <c r="I101" s="76" t="s">
        <v>458</v>
      </c>
      <c r="J101" s="370">
        <f>J$86</f>
        <v>0</v>
      </c>
      <c r="K101" s="364">
        <f t="shared" si="17"/>
        <v>0</v>
      </c>
      <c r="L101" s="365"/>
    </row>
    <row r="102" spans="1:13" x14ac:dyDescent="0.2">
      <c r="A102" s="359">
        <f>IF(F102&lt;&gt;"",1+MAX($A$6:A101),"")</f>
        <v>60</v>
      </c>
      <c r="B102" s="83" t="s">
        <v>485</v>
      </c>
      <c r="C102" s="502" t="s">
        <v>429</v>
      </c>
      <c r="D102" s="436"/>
      <c r="E102" s="362" t="s">
        <v>517</v>
      </c>
      <c r="F102" s="391">
        <f>F101-F99</f>
        <v>0.15263888888888885</v>
      </c>
      <c r="G102" s="74">
        <v>0.1</v>
      </c>
      <c r="H102" s="75">
        <f t="shared" si="16"/>
        <v>0.16790277777777776</v>
      </c>
      <c r="I102" s="76" t="s">
        <v>458</v>
      </c>
      <c r="J102" s="370">
        <f>J$87</f>
        <v>0</v>
      </c>
      <c r="K102" s="364">
        <f t="shared" si="17"/>
        <v>0</v>
      </c>
      <c r="L102" s="365"/>
    </row>
    <row r="103" spans="1:13" ht="31.5" x14ac:dyDescent="0.2">
      <c r="A103" s="359">
        <f>IF(F103&lt;&gt;"",1+MAX($A$6:A102),"")</f>
        <v>61</v>
      </c>
      <c r="B103" s="83" t="s">
        <v>485</v>
      </c>
      <c r="C103" s="502" t="s">
        <v>429</v>
      </c>
      <c r="D103" s="436"/>
      <c r="E103" s="362" t="s">
        <v>524</v>
      </c>
      <c r="F103" s="264">
        <v>1</v>
      </c>
      <c r="G103" s="74">
        <v>0</v>
      </c>
      <c r="H103" s="75">
        <f t="shared" si="16"/>
        <v>1</v>
      </c>
      <c r="I103" s="76" t="s">
        <v>18</v>
      </c>
      <c r="J103" s="363">
        <v>0</v>
      </c>
      <c r="K103" s="364">
        <f t="shared" si="17"/>
        <v>0</v>
      </c>
      <c r="L103" s="365"/>
    </row>
    <row r="104" spans="1:13" ht="31.5" x14ac:dyDescent="0.2">
      <c r="A104" s="359" t="str">
        <f>IF(F104&lt;&gt;"",1+MAX($A$6:A103),"")</f>
        <v/>
      </c>
      <c r="B104" s="83"/>
      <c r="C104" s="360"/>
      <c r="D104" s="366"/>
      <c r="E104" s="708" t="s">
        <v>525</v>
      </c>
      <c r="F104" s="264"/>
      <c r="G104" s="369"/>
      <c r="H104" s="75"/>
      <c r="I104" s="76"/>
      <c r="J104" s="76"/>
      <c r="K104" s="364"/>
      <c r="L104" s="365"/>
      <c r="M104" s="371"/>
    </row>
    <row r="105" spans="1:13" ht="31.5" x14ac:dyDescent="0.2">
      <c r="A105" s="359">
        <f>IF(F105&lt;&gt;"",1+MAX($A$6:A104),"")</f>
        <v>62</v>
      </c>
      <c r="B105" s="83" t="s">
        <v>485</v>
      </c>
      <c r="C105" s="360"/>
      <c r="D105" s="436"/>
      <c r="E105" s="362" t="s">
        <v>526</v>
      </c>
      <c r="F105" s="264">
        <v>1</v>
      </c>
      <c r="G105" s="74">
        <v>0</v>
      </c>
      <c r="H105" s="75">
        <f t="shared" si="16"/>
        <v>1</v>
      </c>
      <c r="I105" s="76" t="s">
        <v>18</v>
      </c>
      <c r="J105" s="363">
        <v>0</v>
      </c>
      <c r="K105" s="364">
        <f t="shared" si="17"/>
        <v>0</v>
      </c>
      <c r="L105" s="365"/>
    </row>
    <row r="106" spans="1:13" x14ac:dyDescent="0.2">
      <c r="A106" s="359">
        <f>IF(F106&lt;&gt;"",1+MAX($A$6:A105),"")</f>
        <v>63</v>
      </c>
      <c r="B106" s="83" t="s">
        <v>485</v>
      </c>
      <c r="C106" s="360"/>
      <c r="D106" s="366"/>
      <c r="E106" s="372" t="s">
        <v>527</v>
      </c>
      <c r="F106" s="264">
        <v>7</v>
      </c>
      <c r="G106" s="74">
        <v>0</v>
      </c>
      <c r="H106" s="75">
        <f t="shared" si="16"/>
        <v>7</v>
      </c>
      <c r="I106" s="76" t="s">
        <v>18</v>
      </c>
      <c r="J106" s="363">
        <v>0</v>
      </c>
      <c r="K106" s="364">
        <f t="shared" si="17"/>
        <v>0</v>
      </c>
      <c r="L106" s="365"/>
      <c r="M106" s="373"/>
    </row>
    <row r="107" spans="1:13" ht="16.5" thickBot="1" x14ac:dyDescent="0.25">
      <c r="A107" s="359" t="str">
        <f>IF(F107&lt;&gt;"",1+MAX($A$6:A106),"")</f>
        <v/>
      </c>
      <c r="B107" s="83"/>
      <c r="C107" s="360"/>
      <c r="D107" s="366"/>
      <c r="E107" s="367" t="s">
        <v>482</v>
      </c>
      <c r="F107" s="368"/>
      <c r="G107" s="369"/>
      <c r="H107" s="75"/>
      <c r="I107" s="76"/>
      <c r="J107" s="370"/>
      <c r="K107" s="364"/>
      <c r="L107" s="365"/>
      <c r="M107" s="371"/>
    </row>
    <row r="108" spans="1:13" ht="16.5" thickBot="1" x14ac:dyDescent="0.25">
      <c r="A108" s="359" t="str">
        <f>IF(F108&lt;&gt;"",1+MAX($A$6:A107),"")</f>
        <v/>
      </c>
      <c r="B108" s="83"/>
      <c r="C108" s="360"/>
      <c r="D108" s="497"/>
      <c r="E108" s="498" t="s">
        <v>528</v>
      </c>
      <c r="F108" s="385"/>
      <c r="G108" s="499"/>
      <c r="H108" s="75"/>
      <c r="I108" s="76"/>
      <c r="J108" s="76"/>
      <c r="K108" s="500"/>
      <c r="L108" s="365"/>
    </row>
    <row r="109" spans="1:13" x14ac:dyDescent="0.2">
      <c r="A109" s="359">
        <f>IF(F109&lt;&gt;"",1+MAX($A$6:A108),"")</f>
        <v>64</v>
      </c>
      <c r="B109" s="83" t="s">
        <v>485</v>
      </c>
      <c r="C109" s="360"/>
      <c r="D109" s="436"/>
      <c r="E109" s="362" t="s">
        <v>1050</v>
      </c>
      <c r="F109" s="264">
        <v>1</v>
      </c>
      <c r="G109" s="74">
        <v>0</v>
      </c>
      <c r="H109" s="75">
        <f t="shared" ref="H109:H111" si="18">F109*(1+G109)</f>
        <v>1</v>
      </c>
      <c r="I109" s="76" t="s">
        <v>18</v>
      </c>
      <c r="J109" s="363">
        <v>0</v>
      </c>
      <c r="K109" s="364">
        <f t="shared" ref="K109:K111" si="19">J109*H109</f>
        <v>0</v>
      </c>
      <c r="L109" s="365"/>
    </row>
    <row r="110" spans="1:13" x14ac:dyDescent="0.2">
      <c r="A110" s="359">
        <f>IF(F110&lt;&gt;"",1+MAX($A$6:A109),"")</f>
        <v>65</v>
      </c>
      <c r="B110" s="83" t="s">
        <v>485</v>
      </c>
      <c r="C110" s="360"/>
      <c r="D110" s="436"/>
      <c r="E110" s="362" t="s">
        <v>529</v>
      </c>
      <c r="F110" s="264">
        <f>5*5</f>
        <v>25</v>
      </c>
      <c r="G110" s="74">
        <v>0</v>
      </c>
      <c r="H110" s="75">
        <f t="shared" si="18"/>
        <v>25</v>
      </c>
      <c r="I110" s="76" t="s">
        <v>16</v>
      </c>
      <c r="J110" s="363">
        <v>0</v>
      </c>
      <c r="K110" s="364">
        <f t="shared" si="19"/>
        <v>0</v>
      </c>
      <c r="L110" s="365"/>
    </row>
    <row r="111" spans="1:13" x14ac:dyDescent="0.2">
      <c r="A111" s="359">
        <f>IF(F111&lt;&gt;"",1+MAX($A$6:A110),"")</f>
        <v>66</v>
      </c>
      <c r="B111" s="83" t="s">
        <v>485</v>
      </c>
      <c r="C111" s="360"/>
      <c r="D111" s="366"/>
      <c r="E111" s="372" t="s">
        <v>530</v>
      </c>
      <c r="F111" s="264">
        <v>1</v>
      </c>
      <c r="G111" s="74">
        <v>0</v>
      </c>
      <c r="H111" s="75">
        <f t="shared" si="18"/>
        <v>1</v>
      </c>
      <c r="I111" s="76" t="s">
        <v>18</v>
      </c>
      <c r="J111" s="363">
        <v>0</v>
      </c>
      <c r="K111" s="364">
        <f t="shared" si="19"/>
        <v>0</v>
      </c>
      <c r="L111" s="365"/>
      <c r="M111" s="371"/>
    </row>
    <row r="112" spans="1:13" ht="16.5" thickBot="1" x14ac:dyDescent="0.25">
      <c r="A112" s="359" t="str">
        <f>IF(F112&lt;&gt;"",1+MAX($A$6:A111),"")</f>
        <v/>
      </c>
      <c r="B112" s="83"/>
      <c r="C112" s="360"/>
      <c r="D112" s="366"/>
      <c r="E112" s="367" t="s">
        <v>482</v>
      </c>
      <c r="F112" s="368"/>
      <c r="G112" s="369"/>
      <c r="H112" s="75"/>
      <c r="I112" s="76"/>
      <c r="J112" s="370"/>
      <c r="K112" s="364"/>
      <c r="L112" s="365"/>
      <c r="M112" s="371"/>
    </row>
    <row r="113" spans="1:14" ht="16.5" thickBot="1" x14ac:dyDescent="0.25">
      <c r="A113" s="359" t="str">
        <f>IF(F113&lt;&gt;"",1+MAX($A$6:A112),"")</f>
        <v/>
      </c>
      <c r="B113" s="83"/>
      <c r="C113" s="360"/>
      <c r="D113" s="497"/>
      <c r="E113" s="498" t="s">
        <v>1048</v>
      </c>
      <c r="F113" s="385"/>
      <c r="G113" s="499"/>
      <c r="H113" s="75"/>
      <c r="I113" s="76"/>
      <c r="J113" s="76"/>
      <c r="K113" s="500"/>
      <c r="L113" s="365"/>
    </row>
    <row r="114" spans="1:14" ht="16.5" thickBot="1" x14ac:dyDescent="0.25">
      <c r="A114" s="359" t="str">
        <f>IF(F114&lt;&gt;"",1+MAX($A$6:A113),"")</f>
        <v/>
      </c>
      <c r="B114" s="83"/>
      <c r="C114" s="266"/>
      <c r="D114" s="628"/>
      <c r="E114" s="432" t="s">
        <v>531</v>
      </c>
      <c r="F114" s="385"/>
      <c r="G114" s="386"/>
      <c r="H114" s="287"/>
      <c r="I114" s="288"/>
      <c r="J114" s="387"/>
      <c r="K114" s="629"/>
      <c r="L114" s="365"/>
    </row>
    <row r="115" spans="1:14" ht="31.5" x14ac:dyDescent="0.2">
      <c r="A115" s="359">
        <f>IF(F115&lt;&gt;"",1+MAX($A$6:A114),"")</f>
        <v>67</v>
      </c>
      <c r="B115" s="83" t="s">
        <v>485</v>
      </c>
      <c r="C115" s="360" t="s">
        <v>532</v>
      </c>
      <c r="D115" s="436"/>
      <c r="E115" s="362" t="s">
        <v>1051</v>
      </c>
      <c r="F115" s="264">
        <v>74.97</v>
      </c>
      <c r="G115" s="74">
        <v>0.1</v>
      </c>
      <c r="H115" s="75">
        <f t="shared" ref="H115:H143" si="20">F115*(1+G115)</f>
        <v>82.466999999999999</v>
      </c>
      <c r="I115" s="76" t="s">
        <v>13</v>
      </c>
      <c r="J115" s="363">
        <v>0</v>
      </c>
      <c r="K115" s="364">
        <f t="shared" ref="K115:K143" si="21">J115*H115</f>
        <v>0</v>
      </c>
      <c r="L115" s="365"/>
    </row>
    <row r="116" spans="1:14" x14ac:dyDescent="0.2">
      <c r="A116" s="359">
        <f>IF(F116&lt;&gt;"",1+MAX($A$6:A115),"")</f>
        <v>68</v>
      </c>
      <c r="B116" s="83" t="s">
        <v>485</v>
      </c>
      <c r="C116" s="360" t="s">
        <v>532</v>
      </c>
      <c r="D116" s="436"/>
      <c r="E116" s="362" t="s">
        <v>516</v>
      </c>
      <c r="F116" s="264">
        <f>F115*2.84*5/27</f>
        <v>39.428666666666658</v>
      </c>
      <c r="G116" s="74">
        <v>0.1</v>
      </c>
      <c r="H116" s="75">
        <f t="shared" si="20"/>
        <v>43.371533333333325</v>
      </c>
      <c r="I116" s="76" t="s">
        <v>458</v>
      </c>
      <c r="J116" s="370">
        <f>J$86</f>
        <v>0</v>
      </c>
      <c r="K116" s="364">
        <f t="shared" si="21"/>
        <v>0</v>
      </c>
      <c r="L116" s="365"/>
    </row>
    <row r="117" spans="1:14" x14ac:dyDescent="0.2">
      <c r="A117" s="359">
        <f>IF(F117&lt;&gt;"",1+MAX($A$6:A116),"")</f>
        <v>69</v>
      </c>
      <c r="B117" s="83" t="s">
        <v>485</v>
      </c>
      <c r="C117" s="360" t="s">
        <v>532</v>
      </c>
      <c r="D117" s="436"/>
      <c r="E117" s="362" t="s">
        <v>534</v>
      </c>
      <c r="F117" s="264">
        <f>F115*1*2.84/27-3.14*0.84*0.84*0.25*F115*0.5/27</f>
        <v>7.1167410533333326</v>
      </c>
      <c r="G117" s="74">
        <v>0.1</v>
      </c>
      <c r="H117" s="75">
        <f t="shared" si="20"/>
        <v>7.8284151586666662</v>
      </c>
      <c r="I117" s="76" t="s">
        <v>458</v>
      </c>
      <c r="J117" s="370">
        <f>J$45</f>
        <v>0</v>
      </c>
      <c r="K117" s="364">
        <f t="shared" si="21"/>
        <v>0</v>
      </c>
      <c r="L117" s="365"/>
    </row>
    <row r="118" spans="1:14" x14ac:dyDescent="0.2">
      <c r="A118" s="359">
        <f>IF(F118&lt;&gt;"",1+MAX($A$6:A117),"")</f>
        <v>70</v>
      </c>
      <c r="B118" s="83" t="s">
        <v>485</v>
      </c>
      <c r="C118" s="360" t="s">
        <v>532</v>
      </c>
      <c r="D118" s="436"/>
      <c r="E118" s="362" t="s">
        <v>517</v>
      </c>
      <c r="F118" s="264">
        <f>F116-F117-3.14*0.84*0.84*0.25*F115/27</f>
        <v>30.773941053333324</v>
      </c>
      <c r="G118" s="74">
        <v>0.1</v>
      </c>
      <c r="H118" s="75">
        <f t="shared" si="20"/>
        <v>33.851335158666657</v>
      </c>
      <c r="I118" s="76" t="s">
        <v>458</v>
      </c>
      <c r="J118" s="370">
        <f>J$87</f>
        <v>0</v>
      </c>
      <c r="K118" s="364">
        <f t="shared" si="21"/>
        <v>0</v>
      </c>
      <c r="L118" s="365"/>
    </row>
    <row r="119" spans="1:14" x14ac:dyDescent="0.2">
      <c r="A119" s="359" t="str">
        <f>IF(F119&lt;&gt;"",1+MAX($A$6:A118),"")</f>
        <v/>
      </c>
      <c r="B119" s="83"/>
      <c r="C119" s="360"/>
      <c r="D119" s="366"/>
      <c r="E119" s="392" t="s">
        <v>482</v>
      </c>
      <c r="F119" s="368"/>
      <c r="G119" s="369"/>
      <c r="H119" s="75"/>
      <c r="I119" s="76"/>
      <c r="J119" s="370"/>
      <c r="K119" s="364"/>
      <c r="L119" s="365"/>
      <c r="M119" s="371"/>
    </row>
    <row r="120" spans="1:14" x14ac:dyDescent="0.2">
      <c r="A120" s="359">
        <f>IF(F120&lt;&gt;"",1+MAX($A$6:A119),"")</f>
        <v>71</v>
      </c>
      <c r="B120" s="83" t="s">
        <v>485</v>
      </c>
      <c r="C120" s="360" t="s">
        <v>532</v>
      </c>
      <c r="D120" s="436"/>
      <c r="E120" s="362" t="s">
        <v>533</v>
      </c>
      <c r="F120" s="264">
        <v>51.84</v>
      </c>
      <c r="G120" s="74">
        <v>0.1</v>
      </c>
      <c r="H120" s="75">
        <f t="shared" si="20"/>
        <v>57.024000000000008</v>
      </c>
      <c r="I120" s="76" t="s">
        <v>13</v>
      </c>
      <c r="J120" s="370">
        <f>J$115</f>
        <v>0</v>
      </c>
      <c r="K120" s="364">
        <f t="shared" si="21"/>
        <v>0</v>
      </c>
      <c r="L120" s="365"/>
    </row>
    <row r="121" spans="1:14" x14ac:dyDescent="0.2">
      <c r="A121" s="359">
        <f>IF(F121&lt;&gt;"",1+MAX($A$6:A120),"")</f>
        <v>72</v>
      </c>
      <c r="B121" s="83" t="s">
        <v>485</v>
      </c>
      <c r="C121" s="360" t="s">
        <v>532</v>
      </c>
      <c r="D121" s="436"/>
      <c r="E121" s="362" t="s">
        <v>516</v>
      </c>
      <c r="F121" s="264">
        <f>F120*2.84*6/27</f>
        <v>32.716800000000006</v>
      </c>
      <c r="G121" s="74">
        <v>0.1</v>
      </c>
      <c r="H121" s="75">
        <f t="shared" si="20"/>
        <v>35.98848000000001</v>
      </c>
      <c r="I121" s="76" t="s">
        <v>458</v>
      </c>
      <c r="J121" s="370">
        <f>J$86</f>
        <v>0</v>
      </c>
      <c r="K121" s="364">
        <f t="shared" si="21"/>
        <v>0</v>
      </c>
      <c r="L121" s="365"/>
    </row>
    <row r="122" spans="1:14" x14ac:dyDescent="0.2">
      <c r="A122" s="359">
        <f>IF(F122&lt;&gt;"",1+MAX($A$6:A121),"")</f>
        <v>73</v>
      </c>
      <c r="B122" s="83" t="s">
        <v>485</v>
      </c>
      <c r="C122" s="360" t="s">
        <v>532</v>
      </c>
      <c r="D122" s="436"/>
      <c r="E122" s="362" t="s">
        <v>534</v>
      </c>
      <c r="F122" s="264">
        <f>F120*1*2.84/27-3.14*0.84*0.84*0.25*F120*0.5/27</f>
        <v>4.9210598400000007</v>
      </c>
      <c r="G122" s="74">
        <v>0.1</v>
      </c>
      <c r="H122" s="75">
        <f t="shared" si="20"/>
        <v>5.4131658240000009</v>
      </c>
      <c r="I122" s="76" t="s">
        <v>458</v>
      </c>
      <c r="J122" s="370">
        <f>J$45</f>
        <v>0</v>
      </c>
      <c r="K122" s="364">
        <f t="shared" si="21"/>
        <v>0</v>
      </c>
      <c r="L122" s="365"/>
    </row>
    <row r="123" spans="1:14" x14ac:dyDescent="0.2">
      <c r="A123" s="359">
        <f>IF(F123&lt;&gt;"",1+MAX($A$6:A122),"")</f>
        <v>74</v>
      </c>
      <c r="B123" s="83" t="s">
        <v>485</v>
      </c>
      <c r="C123" s="360" t="s">
        <v>532</v>
      </c>
      <c r="D123" s="436"/>
      <c r="E123" s="362" t="s">
        <v>517</v>
      </c>
      <c r="F123" s="264">
        <f>F121-F122-3.14*0.84*0.84*0.25*F120/27</f>
        <v>26.732259840000005</v>
      </c>
      <c r="G123" s="74">
        <v>0.1</v>
      </c>
      <c r="H123" s="75">
        <f t="shared" si="20"/>
        <v>29.405485824000007</v>
      </c>
      <c r="I123" s="76" t="s">
        <v>458</v>
      </c>
      <c r="J123" s="370">
        <f>J$87</f>
        <v>0</v>
      </c>
      <c r="K123" s="364">
        <f t="shared" si="21"/>
        <v>0</v>
      </c>
      <c r="L123" s="365"/>
    </row>
    <row r="124" spans="1:14" x14ac:dyDescent="0.2">
      <c r="A124" s="359" t="str">
        <f>IF(F124&lt;&gt;"",1+MAX($A$6:A123),"")</f>
        <v/>
      </c>
      <c r="B124" s="83"/>
      <c r="C124" s="360"/>
      <c r="D124" s="366"/>
      <c r="E124" s="392" t="s">
        <v>482</v>
      </c>
      <c r="F124" s="368"/>
      <c r="G124" s="369"/>
      <c r="H124" s="75"/>
      <c r="I124" s="76"/>
      <c r="J124" s="370"/>
      <c r="K124" s="364"/>
      <c r="L124" s="365"/>
      <c r="M124" s="371"/>
    </row>
    <row r="125" spans="1:14" x14ac:dyDescent="0.2">
      <c r="A125" s="359">
        <f>IF(F125&lt;&gt;"",1+MAX($A$6:A124),"")</f>
        <v>75</v>
      </c>
      <c r="B125" s="83" t="s">
        <v>485</v>
      </c>
      <c r="C125" s="360" t="s">
        <v>532</v>
      </c>
      <c r="D125" s="366"/>
      <c r="E125" s="372" t="s">
        <v>535</v>
      </c>
      <c r="F125" s="264">
        <v>2.0499999999999998</v>
      </c>
      <c r="G125" s="74">
        <v>0.1</v>
      </c>
      <c r="H125" s="75">
        <f t="shared" si="20"/>
        <v>2.2549999999999999</v>
      </c>
      <c r="I125" s="76" t="s">
        <v>13</v>
      </c>
      <c r="J125" s="363">
        <v>0</v>
      </c>
      <c r="K125" s="364">
        <f t="shared" si="21"/>
        <v>0</v>
      </c>
      <c r="L125" s="365"/>
      <c r="M125" s="371"/>
      <c r="N125" s="371"/>
    </row>
    <row r="126" spans="1:14" x14ac:dyDescent="0.2">
      <c r="A126" s="359">
        <f>IF(F126&lt;&gt;"",1+MAX($A$6:A125),"")</f>
        <v>76</v>
      </c>
      <c r="B126" s="83" t="s">
        <v>485</v>
      </c>
      <c r="C126" s="360" t="s">
        <v>532</v>
      </c>
      <c r="D126" s="436"/>
      <c r="E126" s="362" t="s">
        <v>516</v>
      </c>
      <c r="F126" s="264">
        <f>F125*3*4/27</f>
        <v>0.91111111111111098</v>
      </c>
      <c r="G126" s="74">
        <v>0.1</v>
      </c>
      <c r="H126" s="75">
        <f t="shared" si="20"/>
        <v>1.0022222222222221</v>
      </c>
      <c r="I126" s="76" t="s">
        <v>458</v>
      </c>
      <c r="J126" s="370">
        <f>J$86</f>
        <v>0</v>
      </c>
      <c r="K126" s="364">
        <f t="shared" si="21"/>
        <v>0</v>
      </c>
      <c r="L126" s="365"/>
    </row>
    <row r="127" spans="1:14" x14ac:dyDescent="0.2">
      <c r="A127" s="359">
        <f>IF(F127&lt;&gt;"",1+MAX($A$6:A126),"")</f>
        <v>77</v>
      </c>
      <c r="B127" s="83" t="s">
        <v>485</v>
      </c>
      <c r="C127" s="360" t="s">
        <v>532</v>
      </c>
      <c r="D127" s="436"/>
      <c r="E127" s="362" t="s">
        <v>534</v>
      </c>
      <c r="F127" s="264">
        <f>F125*1*3/27-3.14*1*1*0.25*F125*0.5/27</f>
        <v>0.19797685185185182</v>
      </c>
      <c r="G127" s="74">
        <v>0.1</v>
      </c>
      <c r="H127" s="75">
        <f t="shared" si="20"/>
        <v>0.21777453703703703</v>
      </c>
      <c r="I127" s="76" t="s">
        <v>458</v>
      </c>
      <c r="J127" s="370">
        <f>J$45</f>
        <v>0</v>
      </c>
      <c r="K127" s="364">
        <f t="shared" si="21"/>
        <v>0</v>
      </c>
      <c r="L127" s="365"/>
    </row>
    <row r="128" spans="1:14" x14ac:dyDescent="0.2">
      <c r="A128" s="359">
        <f>IF(F128&lt;&gt;"",1+MAX($A$6:A127),"")</f>
        <v>78</v>
      </c>
      <c r="B128" s="83" t="s">
        <v>485</v>
      </c>
      <c r="C128" s="360" t="s">
        <v>532</v>
      </c>
      <c r="D128" s="436"/>
      <c r="E128" s="362" t="s">
        <v>517</v>
      </c>
      <c r="F128" s="264">
        <f>F126-F127-3.14*1*1*0.25*F125/27</f>
        <v>0.65353240740740726</v>
      </c>
      <c r="G128" s="74">
        <v>0.1</v>
      </c>
      <c r="H128" s="75">
        <f t="shared" si="20"/>
        <v>0.71888564814814804</v>
      </c>
      <c r="I128" s="76" t="s">
        <v>458</v>
      </c>
      <c r="J128" s="370">
        <f>J$87</f>
        <v>0</v>
      </c>
      <c r="K128" s="364">
        <f t="shared" si="21"/>
        <v>0</v>
      </c>
      <c r="L128" s="365"/>
    </row>
    <row r="129" spans="1:13" x14ac:dyDescent="0.2">
      <c r="A129" s="359" t="str">
        <f>IF(F129&lt;&gt;"",1+MAX($A$6:A128),"")</f>
        <v/>
      </c>
      <c r="B129" s="83"/>
      <c r="C129" s="360"/>
      <c r="D129" s="366"/>
      <c r="E129" s="392" t="s">
        <v>482</v>
      </c>
      <c r="F129" s="368"/>
      <c r="G129" s="369"/>
      <c r="H129" s="75"/>
      <c r="I129" s="76"/>
      <c r="J129" s="370"/>
      <c r="K129" s="364"/>
      <c r="L129" s="365"/>
      <c r="M129" s="371"/>
    </row>
    <row r="130" spans="1:13" x14ac:dyDescent="0.2">
      <c r="A130" s="359">
        <f>IF(F130&lt;&gt;"",1+MAX($A$6:A129),"")</f>
        <v>79</v>
      </c>
      <c r="B130" s="83" t="s">
        <v>485</v>
      </c>
      <c r="C130" s="360" t="s">
        <v>532</v>
      </c>
      <c r="D130" s="436"/>
      <c r="E130" s="362" t="s">
        <v>536</v>
      </c>
      <c r="F130" s="264">
        <v>2.96</v>
      </c>
      <c r="G130" s="74">
        <v>0.1</v>
      </c>
      <c r="H130" s="75">
        <f t="shared" si="20"/>
        <v>3.2560000000000002</v>
      </c>
      <c r="I130" s="76" t="s">
        <v>13</v>
      </c>
      <c r="J130" s="363">
        <v>0</v>
      </c>
      <c r="K130" s="364">
        <f t="shared" si="21"/>
        <v>0</v>
      </c>
      <c r="L130" s="365"/>
    </row>
    <row r="131" spans="1:13" x14ac:dyDescent="0.2">
      <c r="A131" s="359">
        <f>IF(F131&lt;&gt;"",1+MAX($A$6:A130),"")</f>
        <v>80</v>
      </c>
      <c r="B131" s="83" t="s">
        <v>485</v>
      </c>
      <c r="C131" s="360" t="s">
        <v>532</v>
      </c>
      <c r="D131" s="436"/>
      <c r="E131" s="362" t="s">
        <v>516</v>
      </c>
      <c r="F131" s="264">
        <f>F130*5*4/27</f>
        <v>2.1925925925925926</v>
      </c>
      <c r="G131" s="74">
        <v>0.1</v>
      </c>
      <c r="H131" s="75">
        <f t="shared" si="20"/>
        <v>2.4118518518518521</v>
      </c>
      <c r="I131" s="76" t="s">
        <v>458</v>
      </c>
      <c r="J131" s="370">
        <f>J$86</f>
        <v>0</v>
      </c>
      <c r="K131" s="364">
        <f t="shared" si="21"/>
        <v>0</v>
      </c>
      <c r="L131" s="365"/>
    </row>
    <row r="132" spans="1:13" x14ac:dyDescent="0.2">
      <c r="A132" s="359">
        <f>IF(F132&lt;&gt;"",1+MAX($A$6:A131),"")</f>
        <v>81</v>
      </c>
      <c r="B132" s="83" t="s">
        <v>485</v>
      </c>
      <c r="C132" s="360" t="s">
        <v>532</v>
      </c>
      <c r="D132" s="436"/>
      <c r="E132" s="362" t="s">
        <v>534</v>
      </c>
      <c r="F132" s="264">
        <f>F130*2*5/27-3.14*3*3*0.25*F130*0.5/27</f>
        <v>0.70902962962962968</v>
      </c>
      <c r="G132" s="74">
        <v>0.1</v>
      </c>
      <c r="H132" s="75">
        <f t="shared" si="20"/>
        <v>0.77993259259259273</v>
      </c>
      <c r="I132" s="76" t="s">
        <v>458</v>
      </c>
      <c r="J132" s="370">
        <f>J$45</f>
        <v>0</v>
      </c>
      <c r="K132" s="364">
        <f t="shared" si="21"/>
        <v>0</v>
      </c>
      <c r="L132" s="365"/>
    </row>
    <row r="133" spans="1:13" x14ac:dyDescent="0.2">
      <c r="A133" s="359">
        <f>IF(F133&lt;&gt;"",1+MAX($A$6:A132),"")</f>
        <v>82</v>
      </c>
      <c r="B133" s="83" t="s">
        <v>485</v>
      </c>
      <c r="C133" s="360" t="s">
        <v>532</v>
      </c>
      <c r="D133" s="436"/>
      <c r="E133" s="362" t="s">
        <v>517</v>
      </c>
      <c r="F133" s="264">
        <f>F131-F132-3.14*3*3*0.25*F130/27</f>
        <v>0.70902962962962968</v>
      </c>
      <c r="G133" s="74">
        <v>0.1</v>
      </c>
      <c r="H133" s="75">
        <f t="shared" si="20"/>
        <v>0.77993259259259273</v>
      </c>
      <c r="I133" s="76" t="s">
        <v>458</v>
      </c>
      <c r="J133" s="370">
        <f>J$87</f>
        <v>0</v>
      </c>
      <c r="K133" s="364">
        <f t="shared" si="21"/>
        <v>0</v>
      </c>
      <c r="L133" s="365"/>
    </row>
    <row r="134" spans="1:13" x14ac:dyDescent="0.2">
      <c r="A134" s="359" t="str">
        <f>IF(F134&lt;&gt;"",1+MAX($A$6:A133),"")</f>
        <v/>
      </c>
      <c r="B134" s="83"/>
      <c r="C134" s="360"/>
      <c r="D134" s="366"/>
      <c r="E134" s="392" t="s">
        <v>482</v>
      </c>
      <c r="F134" s="368"/>
      <c r="G134" s="369"/>
      <c r="H134" s="75"/>
      <c r="I134" s="76"/>
      <c r="J134" s="370"/>
      <c r="K134" s="364"/>
      <c r="L134" s="365"/>
      <c r="M134" s="371"/>
    </row>
    <row r="135" spans="1:13" x14ac:dyDescent="0.2">
      <c r="A135" s="359">
        <f>IF(F135&lt;&gt;"",1+MAX($A$6:A134),"")</f>
        <v>83</v>
      </c>
      <c r="B135" s="83" t="s">
        <v>485</v>
      </c>
      <c r="C135" s="360"/>
      <c r="D135" s="436"/>
      <c r="E135" s="362" t="s">
        <v>537</v>
      </c>
      <c r="F135" s="264">
        <v>6.05</v>
      </c>
      <c r="G135" s="74">
        <v>0.1</v>
      </c>
      <c r="H135" s="75">
        <f t="shared" si="20"/>
        <v>6.6550000000000002</v>
      </c>
      <c r="I135" s="76" t="s">
        <v>13</v>
      </c>
      <c r="J135" s="363">
        <v>0</v>
      </c>
      <c r="K135" s="364">
        <f t="shared" si="21"/>
        <v>0</v>
      </c>
      <c r="L135" s="365"/>
    </row>
    <row r="136" spans="1:13" x14ac:dyDescent="0.2">
      <c r="A136" s="359">
        <f>IF(F136&lt;&gt;"",1+MAX($A$6:A135),"")</f>
        <v>84</v>
      </c>
      <c r="B136" s="83" t="s">
        <v>485</v>
      </c>
      <c r="C136" s="360" t="s">
        <v>532</v>
      </c>
      <c r="D136" s="436"/>
      <c r="E136" s="362" t="s">
        <v>516</v>
      </c>
      <c r="F136" s="264">
        <f>F135*2.5*4/27</f>
        <v>2.2407407407407409</v>
      </c>
      <c r="G136" s="74">
        <v>0.1</v>
      </c>
      <c r="H136" s="75">
        <f t="shared" si="20"/>
        <v>2.4648148148148152</v>
      </c>
      <c r="I136" s="76" t="s">
        <v>458</v>
      </c>
      <c r="J136" s="370">
        <f>J$86</f>
        <v>0</v>
      </c>
      <c r="K136" s="364">
        <f t="shared" si="21"/>
        <v>0</v>
      </c>
      <c r="L136" s="365"/>
    </row>
    <row r="137" spans="1:13" x14ac:dyDescent="0.2">
      <c r="A137" s="359">
        <f>IF(F137&lt;&gt;"",1+MAX($A$6:A136),"")</f>
        <v>85</v>
      </c>
      <c r="B137" s="83" t="s">
        <v>485</v>
      </c>
      <c r="C137" s="360" t="s">
        <v>532</v>
      </c>
      <c r="D137" s="436"/>
      <c r="E137" s="362" t="s">
        <v>534</v>
      </c>
      <c r="F137" s="391">
        <f>F135*2.5*0.75/27-3.14*0.5*0.5*0.25*F135*0.5/27</f>
        <v>0.39815162037037038</v>
      </c>
      <c r="G137" s="74">
        <v>0.1</v>
      </c>
      <c r="H137" s="75">
        <f t="shared" si="20"/>
        <v>0.43796678240740744</v>
      </c>
      <c r="I137" s="76" t="s">
        <v>458</v>
      </c>
      <c r="J137" s="370">
        <f>J$45</f>
        <v>0</v>
      </c>
      <c r="K137" s="364">
        <f t="shared" si="21"/>
        <v>0</v>
      </c>
      <c r="L137" s="365"/>
    </row>
    <row r="138" spans="1:13" x14ac:dyDescent="0.2">
      <c r="A138" s="359">
        <f>IF(F138&lt;&gt;"",1+MAX($A$6:A137),"")</f>
        <v>86</v>
      </c>
      <c r="B138" s="83" t="s">
        <v>485</v>
      </c>
      <c r="C138" s="360" t="s">
        <v>532</v>
      </c>
      <c r="D138" s="436"/>
      <c r="E138" s="362" t="s">
        <v>517</v>
      </c>
      <c r="F138" s="264">
        <f>F136-F137-3.14*0.5*0.5*0.25*F135/27</f>
        <v>1.7986145833333336</v>
      </c>
      <c r="G138" s="74">
        <v>0.1</v>
      </c>
      <c r="H138" s="75">
        <f t="shared" si="20"/>
        <v>1.9784760416666671</v>
      </c>
      <c r="I138" s="76" t="s">
        <v>458</v>
      </c>
      <c r="J138" s="370">
        <f>J$87</f>
        <v>0</v>
      </c>
      <c r="K138" s="364">
        <f t="shared" si="21"/>
        <v>0</v>
      </c>
      <c r="L138" s="365"/>
    </row>
    <row r="139" spans="1:13" x14ac:dyDescent="0.2">
      <c r="A139" s="359" t="str">
        <f>IF(F139&lt;&gt;"",1+MAX($A$6:A138),"")</f>
        <v/>
      </c>
      <c r="B139" s="83"/>
      <c r="C139" s="360"/>
      <c r="D139" s="366"/>
      <c r="E139" s="392" t="s">
        <v>482</v>
      </c>
      <c r="F139" s="368"/>
      <c r="G139" s="369"/>
      <c r="H139" s="75"/>
      <c r="I139" s="76"/>
      <c r="J139" s="370"/>
      <c r="K139" s="364"/>
      <c r="L139" s="365"/>
      <c r="M139" s="371"/>
    </row>
    <row r="140" spans="1:13" x14ac:dyDescent="0.2">
      <c r="A140" s="359">
        <f>IF(F140&lt;&gt;"",1+MAX($A$6:A139),"")</f>
        <v>87</v>
      </c>
      <c r="B140" s="83" t="s">
        <v>485</v>
      </c>
      <c r="C140" s="360"/>
      <c r="D140" s="436"/>
      <c r="E140" s="362" t="s">
        <v>538</v>
      </c>
      <c r="F140" s="264">
        <v>5.13</v>
      </c>
      <c r="G140" s="74">
        <v>0.1</v>
      </c>
      <c r="H140" s="75">
        <f t="shared" si="20"/>
        <v>5.6430000000000007</v>
      </c>
      <c r="I140" s="76" t="s">
        <v>13</v>
      </c>
      <c r="J140" s="363">
        <v>0</v>
      </c>
      <c r="K140" s="364">
        <f t="shared" si="21"/>
        <v>0</v>
      </c>
      <c r="L140" s="365"/>
    </row>
    <row r="141" spans="1:13" x14ac:dyDescent="0.2">
      <c r="A141" s="359">
        <f>IF(F141&lt;&gt;"",1+MAX($A$6:A140),"")</f>
        <v>88</v>
      </c>
      <c r="B141" s="83" t="s">
        <v>485</v>
      </c>
      <c r="C141" s="360" t="s">
        <v>532</v>
      </c>
      <c r="D141" s="436"/>
      <c r="E141" s="362" t="s">
        <v>516</v>
      </c>
      <c r="F141" s="264">
        <f>F140*2.5*4/27</f>
        <v>1.9</v>
      </c>
      <c r="G141" s="74">
        <v>0.1</v>
      </c>
      <c r="H141" s="75">
        <f t="shared" si="20"/>
        <v>2.09</v>
      </c>
      <c r="I141" s="76" t="s">
        <v>458</v>
      </c>
      <c r="J141" s="370">
        <f>J$86</f>
        <v>0</v>
      </c>
      <c r="K141" s="364">
        <f t="shared" si="21"/>
        <v>0</v>
      </c>
      <c r="L141" s="365"/>
    </row>
    <row r="142" spans="1:13" x14ac:dyDescent="0.2">
      <c r="A142" s="359">
        <f>IF(F142&lt;&gt;"",1+MAX($A$6:A141),"")</f>
        <v>89</v>
      </c>
      <c r="B142" s="83" t="s">
        <v>485</v>
      </c>
      <c r="C142" s="360" t="s">
        <v>532</v>
      </c>
      <c r="D142" s="436"/>
      <c r="E142" s="362" t="s">
        <v>534</v>
      </c>
      <c r="F142" s="391">
        <f>F140*2.5*0.75/27-3.14*0.5*0.5*0.25*F140*0.5/27</f>
        <v>0.33760624999999994</v>
      </c>
      <c r="G142" s="74">
        <v>0.1</v>
      </c>
      <c r="H142" s="75">
        <f t="shared" si="20"/>
        <v>0.37136687499999999</v>
      </c>
      <c r="I142" s="76" t="s">
        <v>458</v>
      </c>
      <c r="J142" s="370">
        <f>J$45</f>
        <v>0</v>
      </c>
      <c r="K142" s="364">
        <f t="shared" si="21"/>
        <v>0</v>
      </c>
      <c r="L142" s="365"/>
    </row>
    <row r="143" spans="1:13" x14ac:dyDescent="0.2">
      <c r="A143" s="359">
        <f>IF(F143&lt;&gt;"",1+MAX($A$6:A142),"")</f>
        <v>90</v>
      </c>
      <c r="B143" s="83" t="s">
        <v>485</v>
      </c>
      <c r="C143" s="360" t="s">
        <v>532</v>
      </c>
      <c r="D143" s="436"/>
      <c r="E143" s="362" t="s">
        <v>517</v>
      </c>
      <c r="F143" s="264">
        <f>F141-F142-3.14*0.5*0.5*0.25*F140/27</f>
        <v>1.5251062500000001</v>
      </c>
      <c r="G143" s="74">
        <v>0.1</v>
      </c>
      <c r="H143" s="75">
        <f t="shared" si="20"/>
        <v>1.6776168750000002</v>
      </c>
      <c r="I143" s="76" t="s">
        <v>458</v>
      </c>
      <c r="J143" s="370">
        <f>J$87</f>
        <v>0</v>
      </c>
      <c r="K143" s="364">
        <f t="shared" si="21"/>
        <v>0</v>
      </c>
      <c r="L143" s="365"/>
    </row>
    <row r="144" spans="1:13" ht="16.5" thickBot="1" x14ac:dyDescent="0.25">
      <c r="A144" s="359" t="str">
        <f>IF(F144&lt;&gt;"",1+MAX($A$6:A143),"")</f>
        <v/>
      </c>
      <c r="B144" s="83"/>
      <c r="C144" s="360"/>
      <c r="D144" s="366"/>
      <c r="E144" s="393" t="s">
        <v>482</v>
      </c>
      <c r="F144" s="368"/>
      <c r="G144" s="369"/>
      <c r="H144" s="75"/>
      <c r="I144" s="76"/>
      <c r="J144" s="370"/>
      <c r="K144" s="364"/>
      <c r="L144" s="365"/>
      <c r="M144" s="371"/>
    </row>
    <row r="145" spans="1:13" ht="16.5" thickBot="1" x14ac:dyDescent="0.25">
      <c r="A145" s="359" t="str">
        <f>IF(F145&lt;&gt;"",1+MAX($A$6:A144),"")</f>
        <v/>
      </c>
      <c r="B145" s="83"/>
      <c r="C145" s="360"/>
      <c r="D145" s="360"/>
      <c r="E145" s="429" t="s">
        <v>539</v>
      </c>
      <c r="F145" s="394"/>
      <c r="G145" s="369"/>
      <c r="H145" s="75"/>
      <c r="I145" s="76"/>
      <c r="J145" s="370"/>
      <c r="K145" s="364"/>
      <c r="L145" s="365"/>
      <c r="M145" s="371"/>
    </row>
    <row r="146" spans="1:13" ht="31.5" x14ac:dyDescent="0.2">
      <c r="A146" s="359">
        <f>IF(F146&lt;&gt;"",1+MAX($A$6:A145),"")</f>
        <v>91</v>
      </c>
      <c r="B146" s="83" t="s">
        <v>485</v>
      </c>
      <c r="C146" s="360" t="s">
        <v>540</v>
      </c>
      <c r="D146" s="436"/>
      <c r="E146" s="362" t="s">
        <v>1045</v>
      </c>
      <c r="F146" s="264">
        <v>2</v>
      </c>
      <c r="G146" s="74">
        <v>0</v>
      </c>
      <c r="H146" s="75">
        <f t="shared" ref="H146:H178" si="22">F146*(1+G146)</f>
        <v>2</v>
      </c>
      <c r="I146" s="76" t="s">
        <v>18</v>
      </c>
      <c r="J146" s="363">
        <v>0</v>
      </c>
      <c r="K146" s="364">
        <f t="shared" ref="K146:K178" si="23">J146*H146</f>
        <v>0</v>
      </c>
      <c r="L146" s="365"/>
    </row>
    <row r="147" spans="1:13" x14ac:dyDescent="0.2">
      <c r="A147" s="359">
        <f>IF(F147&lt;&gt;"",1+MAX($A$6:A146),"")</f>
        <v>92</v>
      </c>
      <c r="B147" s="83" t="s">
        <v>485</v>
      </c>
      <c r="C147" s="360" t="s">
        <v>540</v>
      </c>
      <c r="D147" s="436"/>
      <c r="E147" s="362" t="s">
        <v>1049</v>
      </c>
      <c r="F147" s="264">
        <v>110.07</v>
      </c>
      <c r="G147" s="74">
        <v>0.1</v>
      </c>
      <c r="H147" s="75">
        <f t="shared" si="22"/>
        <v>121.077</v>
      </c>
      <c r="I147" s="76" t="s">
        <v>13</v>
      </c>
      <c r="J147" s="439">
        <f>J$130</f>
        <v>0</v>
      </c>
      <c r="K147" s="364">
        <f t="shared" si="23"/>
        <v>0</v>
      </c>
      <c r="L147" s="365"/>
    </row>
    <row r="148" spans="1:13" x14ac:dyDescent="0.2">
      <c r="A148" s="359">
        <f>IF(F148&lt;&gt;"",1+MAX($A$6:A147),"")</f>
        <v>93</v>
      </c>
      <c r="B148" s="83" t="s">
        <v>485</v>
      </c>
      <c r="C148" s="360" t="s">
        <v>540</v>
      </c>
      <c r="D148" s="366"/>
      <c r="E148" s="372" t="s">
        <v>541</v>
      </c>
      <c r="F148" s="264">
        <v>1</v>
      </c>
      <c r="G148" s="74">
        <v>0</v>
      </c>
      <c r="H148" s="75">
        <f t="shared" si="22"/>
        <v>1</v>
      </c>
      <c r="I148" s="76" t="s">
        <v>18</v>
      </c>
      <c r="J148" s="690">
        <v>0</v>
      </c>
      <c r="K148" s="364">
        <f t="shared" si="23"/>
        <v>0</v>
      </c>
      <c r="L148" s="365"/>
      <c r="M148" s="371"/>
    </row>
    <row r="149" spans="1:13" x14ac:dyDescent="0.2">
      <c r="A149" s="359">
        <f>IF(F149&lt;&gt;"",1+MAX($A$6:A148),"")</f>
        <v>94</v>
      </c>
      <c r="B149" s="83" t="s">
        <v>485</v>
      </c>
      <c r="C149" s="360" t="s">
        <v>540</v>
      </c>
      <c r="D149" s="436"/>
      <c r="E149" s="362" t="s">
        <v>516</v>
      </c>
      <c r="F149" s="264">
        <f>65*6.5*11/27</f>
        <v>172.12962962962962</v>
      </c>
      <c r="G149" s="74">
        <v>0.1</v>
      </c>
      <c r="H149" s="75">
        <f t="shared" si="22"/>
        <v>189.34259259259261</v>
      </c>
      <c r="I149" s="76" t="s">
        <v>458</v>
      </c>
      <c r="J149" s="370">
        <f>J$86</f>
        <v>0</v>
      </c>
      <c r="K149" s="364">
        <f t="shared" si="23"/>
        <v>0</v>
      </c>
      <c r="L149" s="365"/>
    </row>
    <row r="150" spans="1:13" x14ac:dyDescent="0.2">
      <c r="A150" s="359">
        <f>IF(F150&lt;&gt;"",1+MAX($A$6:A149),"")</f>
        <v>95</v>
      </c>
      <c r="B150" s="83" t="s">
        <v>485</v>
      </c>
      <c r="C150" s="360" t="s">
        <v>540</v>
      </c>
      <c r="D150" s="436"/>
      <c r="E150" s="362" t="s">
        <v>542</v>
      </c>
      <c r="F150" s="264">
        <f>65*5.5*11/27-3.14*3*3*0.25*124/27-3.14*6*6*0.25*5.5/27</f>
        <v>107.44481481481483</v>
      </c>
      <c r="G150" s="74">
        <v>0.1</v>
      </c>
      <c r="H150" s="75">
        <f t="shared" si="22"/>
        <v>118.18929629629632</v>
      </c>
      <c r="I150" s="76" t="s">
        <v>458</v>
      </c>
      <c r="J150" s="370">
        <f>J$45</f>
        <v>0</v>
      </c>
      <c r="K150" s="364">
        <f t="shared" si="23"/>
        <v>0</v>
      </c>
      <c r="L150" s="365"/>
    </row>
    <row r="151" spans="1:13" x14ac:dyDescent="0.2">
      <c r="A151" s="359">
        <f>IF(F151&lt;&gt;"",1+MAX($A$6:A150),"")</f>
        <v>96</v>
      </c>
      <c r="B151" s="83" t="s">
        <v>485</v>
      </c>
      <c r="C151" s="360" t="s">
        <v>540</v>
      </c>
      <c r="D151" s="436"/>
      <c r="E151" s="362" t="s">
        <v>517</v>
      </c>
      <c r="F151" s="264">
        <f>F149-F150-3.14*3*3*0.25*124/27-3.14*6*6*0.25*5.5/27</f>
        <v>26.481481481481453</v>
      </c>
      <c r="G151" s="74">
        <v>0.1</v>
      </c>
      <c r="H151" s="75">
        <f t="shared" si="22"/>
        <v>29.129629629629601</v>
      </c>
      <c r="I151" s="76" t="s">
        <v>458</v>
      </c>
      <c r="J151" s="370">
        <f>J$87</f>
        <v>0</v>
      </c>
      <c r="K151" s="364">
        <f t="shared" si="23"/>
        <v>0</v>
      </c>
      <c r="L151" s="365"/>
    </row>
    <row r="152" spans="1:13" x14ac:dyDescent="0.2">
      <c r="A152" s="359" t="str">
        <f>IF(F152&lt;&gt;"",1+MAX($A$6:A151),"")</f>
        <v/>
      </c>
      <c r="B152" s="83"/>
      <c r="C152" s="360"/>
      <c r="D152" s="366"/>
      <c r="E152" s="392" t="s">
        <v>482</v>
      </c>
      <c r="F152" s="368"/>
      <c r="G152" s="369"/>
      <c r="H152" s="75"/>
      <c r="I152" s="76"/>
      <c r="J152" s="370"/>
      <c r="K152" s="364"/>
      <c r="L152" s="365"/>
      <c r="M152" s="371"/>
    </row>
    <row r="153" spans="1:13" ht="78.75" x14ac:dyDescent="0.2">
      <c r="A153" s="359">
        <f>IF(F153&lt;&gt;"",1+MAX($A$6:A152),"")</f>
        <v>97</v>
      </c>
      <c r="B153" s="83" t="s">
        <v>485</v>
      </c>
      <c r="C153" s="360" t="s">
        <v>540</v>
      </c>
      <c r="D153" s="366"/>
      <c r="E153" s="372" t="s">
        <v>1052</v>
      </c>
      <c r="F153" s="264">
        <v>1</v>
      </c>
      <c r="G153" s="74">
        <v>0</v>
      </c>
      <c r="H153" s="75">
        <f t="shared" si="22"/>
        <v>1</v>
      </c>
      <c r="I153" s="76" t="s">
        <v>18</v>
      </c>
      <c r="J153" s="690">
        <v>0</v>
      </c>
      <c r="K153" s="364">
        <f t="shared" si="23"/>
        <v>0</v>
      </c>
      <c r="L153" s="365"/>
      <c r="M153" s="371"/>
    </row>
    <row r="154" spans="1:13" x14ac:dyDescent="0.2">
      <c r="A154" s="359">
        <f>IF(F154&lt;&gt;"",1+MAX($A$6:A153),"")</f>
        <v>98</v>
      </c>
      <c r="B154" s="83" t="s">
        <v>485</v>
      </c>
      <c r="C154" s="360" t="s">
        <v>540</v>
      </c>
      <c r="D154" s="436"/>
      <c r="E154" s="362" t="s">
        <v>516</v>
      </c>
      <c r="F154" s="264">
        <f>8.5*6*7/27</f>
        <v>13.222222222222221</v>
      </c>
      <c r="G154" s="74">
        <v>0.1</v>
      </c>
      <c r="H154" s="75">
        <f t="shared" si="22"/>
        <v>14.544444444444444</v>
      </c>
      <c r="I154" s="76" t="s">
        <v>458</v>
      </c>
      <c r="J154" s="370">
        <f>J$86</f>
        <v>0</v>
      </c>
      <c r="K154" s="364">
        <f t="shared" si="23"/>
        <v>0</v>
      </c>
      <c r="L154" s="365"/>
    </row>
    <row r="155" spans="1:13" x14ac:dyDescent="0.2">
      <c r="A155" s="359">
        <f>IF(F155&lt;&gt;"",1+MAX($A$6:A154),"")</f>
        <v>99</v>
      </c>
      <c r="B155" s="83" t="s">
        <v>485</v>
      </c>
      <c r="C155" s="360" t="s">
        <v>540</v>
      </c>
      <c r="D155" s="436"/>
      <c r="E155" s="362" t="s">
        <v>534</v>
      </c>
      <c r="F155" s="264">
        <f>8.5*6*0.67/27</f>
        <v>1.2655555555555555</v>
      </c>
      <c r="G155" s="74">
        <v>0.1</v>
      </c>
      <c r="H155" s="75">
        <f t="shared" si="22"/>
        <v>1.3921111111111113</v>
      </c>
      <c r="I155" s="76" t="s">
        <v>458</v>
      </c>
      <c r="J155" s="370">
        <f>J$45</f>
        <v>0</v>
      </c>
      <c r="K155" s="364">
        <f t="shared" si="23"/>
        <v>0</v>
      </c>
      <c r="L155" s="365"/>
    </row>
    <row r="156" spans="1:13" x14ac:dyDescent="0.2">
      <c r="A156" s="359">
        <f>IF(F156&lt;&gt;"",1+MAX($A$6:A155),"")</f>
        <v>100</v>
      </c>
      <c r="B156" s="83" t="s">
        <v>485</v>
      </c>
      <c r="C156" s="360" t="s">
        <v>540</v>
      </c>
      <c r="D156" s="436"/>
      <c r="E156" s="362" t="s">
        <v>517</v>
      </c>
      <c r="F156" s="264">
        <f>F154-F155-7.5*5*6.67/27</f>
        <v>2.6927777777777759</v>
      </c>
      <c r="G156" s="74">
        <v>0.1</v>
      </c>
      <c r="H156" s="75">
        <f t="shared" si="22"/>
        <v>2.9620555555555539</v>
      </c>
      <c r="I156" s="76" t="s">
        <v>458</v>
      </c>
      <c r="J156" s="370">
        <f>J$87</f>
        <v>0</v>
      </c>
      <c r="K156" s="364">
        <f t="shared" si="23"/>
        <v>0</v>
      </c>
      <c r="L156" s="365"/>
    </row>
    <row r="157" spans="1:13" x14ac:dyDescent="0.2">
      <c r="A157" s="359" t="str">
        <f>IF(F157&lt;&gt;"",1+MAX($A$6:A156),"")</f>
        <v/>
      </c>
      <c r="B157" s="83"/>
      <c r="C157" s="360"/>
      <c r="D157" s="366"/>
      <c r="E157" s="392" t="s">
        <v>482</v>
      </c>
      <c r="F157" s="368"/>
      <c r="G157" s="369"/>
      <c r="H157" s="75"/>
      <c r="I157" s="76"/>
      <c r="J157" s="370"/>
      <c r="K157" s="364"/>
      <c r="L157" s="365"/>
      <c r="M157" s="371"/>
    </row>
    <row r="158" spans="1:13" ht="31.5" x14ac:dyDescent="0.2">
      <c r="A158" s="359">
        <f>IF(F158&lt;&gt;"",1+MAX($A$6:A157),"")</f>
        <v>101</v>
      </c>
      <c r="B158" s="83" t="s">
        <v>485</v>
      </c>
      <c r="C158" s="360"/>
      <c r="D158" s="436"/>
      <c r="E158" s="362" t="s">
        <v>756</v>
      </c>
      <c r="F158" s="264">
        <v>1</v>
      </c>
      <c r="G158" s="74">
        <v>0</v>
      </c>
      <c r="H158" s="75">
        <f t="shared" ref="H158:H161" si="24">F158*(1+G158)</f>
        <v>1</v>
      </c>
      <c r="I158" s="76" t="s">
        <v>18</v>
      </c>
      <c r="J158" s="363">
        <v>0</v>
      </c>
      <c r="K158" s="364">
        <f t="shared" ref="K158:K161" si="25">J158*H158</f>
        <v>0</v>
      </c>
      <c r="L158" s="365"/>
    </row>
    <row r="159" spans="1:13" x14ac:dyDescent="0.2">
      <c r="A159" s="359">
        <f>IF(F159&lt;&gt;"",1+MAX($A$6:A158),"")</f>
        <v>102</v>
      </c>
      <c r="B159" s="83" t="s">
        <v>485</v>
      </c>
      <c r="C159" s="360" t="s">
        <v>532</v>
      </c>
      <c r="D159" s="436"/>
      <c r="E159" s="362" t="s">
        <v>516</v>
      </c>
      <c r="F159" s="264">
        <f>6*3.84*4.5/27</f>
        <v>3.84</v>
      </c>
      <c r="G159" s="74">
        <v>0.1</v>
      </c>
      <c r="H159" s="75">
        <f t="shared" si="24"/>
        <v>4.2240000000000002</v>
      </c>
      <c r="I159" s="76" t="s">
        <v>458</v>
      </c>
      <c r="J159" s="370">
        <f>J$86</f>
        <v>0</v>
      </c>
      <c r="K159" s="364">
        <f t="shared" si="25"/>
        <v>0</v>
      </c>
      <c r="L159" s="365"/>
    </row>
    <row r="160" spans="1:13" x14ac:dyDescent="0.2">
      <c r="A160" s="359">
        <f>IF(F160&lt;&gt;"",1+MAX($A$6:A159),"")</f>
        <v>103</v>
      </c>
      <c r="B160" s="83" t="s">
        <v>485</v>
      </c>
      <c r="C160" s="360" t="s">
        <v>532</v>
      </c>
      <c r="D160" s="436"/>
      <c r="E160" s="362" t="s">
        <v>543</v>
      </c>
      <c r="F160" s="391">
        <f>5*3.84*0.5/27</f>
        <v>0.35555555555555557</v>
      </c>
      <c r="G160" s="74">
        <v>0.1</v>
      </c>
      <c r="H160" s="75">
        <f t="shared" si="24"/>
        <v>0.39111111111111113</v>
      </c>
      <c r="I160" s="76" t="s">
        <v>458</v>
      </c>
      <c r="J160" s="370">
        <f>J$45</f>
        <v>0</v>
      </c>
      <c r="K160" s="364">
        <f t="shared" si="25"/>
        <v>0</v>
      </c>
      <c r="L160" s="365"/>
    </row>
    <row r="161" spans="1:13" x14ac:dyDescent="0.2">
      <c r="A161" s="359">
        <f>IF(F161&lt;&gt;"",1+MAX($A$6:A160),"")</f>
        <v>104</v>
      </c>
      <c r="B161" s="83" t="s">
        <v>485</v>
      </c>
      <c r="C161" s="360" t="s">
        <v>532</v>
      </c>
      <c r="D161" s="436"/>
      <c r="E161" s="362" t="s">
        <v>517</v>
      </c>
      <c r="F161" s="264">
        <f>F159-F160-5*2.84*4/27</f>
        <v>1.3807407407407406</v>
      </c>
      <c r="G161" s="74">
        <v>0.1</v>
      </c>
      <c r="H161" s="75">
        <f t="shared" si="24"/>
        <v>1.5188148148148148</v>
      </c>
      <c r="I161" s="76" t="s">
        <v>458</v>
      </c>
      <c r="J161" s="370">
        <f>J$87</f>
        <v>0</v>
      </c>
      <c r="K161" s="364">
        <f t="shared" si="25"/>
        <v>0</v>
      </c>
      <c r="L161" s="365"/>
    </row>
    <row r="162" spans="1:13" x14ac:dyDescent="0.2">
      <c r="A162" s="359" t="str">
        <f>IF(F162&lt;&gt;"",1+MAX($A$6:A161),"")</f>
        <v/>
      </c>
      <c r="B162" s="83"/>
      <c r="C162" s="360"/>
      <c r="D162" s="366"/>
      <c r="E162" s="392" t="s">
        <v>482</v>
      </c>
      <c r="F162" s="368"/>
      <c r="G162" s="369"/>
      <c r="H162" s="75"/>
      <c r="I162" s="76"/>
      <c r="J162" s="370"/>
      <c r="K162" s="364"/>
      <c r="L162" s="365"/>
      <c r="M162" s="371"/>
    </row>
    <row r="163" spans="1:13" ht="31.5" x14ac:dyDescent="0.2">
      <c r="A163" s="359">
        <f>IF(F163&lt;&gt;"",1+MAX($A$6:A162),"")</f>
        <v>105</v>
      </c>
      <c r="B163" s="83" t="s">
        <v>485</v>
      </c>
      <c r="C163" s="360" t="s">
        <v>540</v>
      </c>
      <c r="D163" s="366"/>
      <c r="E163" s="372" t="s">
        <v>757</v>
      </c>
      <c r="F163" s="264">
        <v>1</v>
      </c>
      <c r="G163" s="74">
        <v>0</v>
      </c>
      <c r="H163" s="75">
        <f t="shared" ref="H163:H166" si="26">F163*(1+G163)</f>
        <v>1</v>
      </c>
      <c r="I163" s="76" t="s">
        <v>18</v>
      </c>
      <c r="J163" s="363">
        <v>0</v>
      </c>
      <c r="K163" s="364">
        <f t="shared" ref="K163:K166" si="27">J163*H163</f>
        <v>0</v>
      </c>
      <c r="L163" s="365"/>
      <c r="M163" s="371"/>
    </row>
    <row r="164" spans="1:13" x14ac:dyDescent="0.2">
      <c r="A164" s="359">
        <f>IF(F164&lt;&gt;"",1+MAX($A$6:A163),"")</f>
        <v>106</v>
      </c>
      <c r="B164" s="83" t="s">
        <v>485</v>
      </c>
      <c r="C164" s="360" t="s">
        <v>540</v>
      </c>
      <c r="D164" s="436"/>
      <c r="E164" s="362" t="s">
        <v>516</v>
      </c>
      <c r="F164" s="264">
        <f>4*4*3/27</f>
        <v>1.7777777777777777</v>
      </c>
      <c r="G164" s="74">
        <v>0.1</v>
      </c>
      <c r="H164" s="75">
        <f t="shared" si="26"/>
        <v>1.9555555555555557</v>
      </c>
      <c r="I164" s="76" t="s">
        <v>458</v>
      </c>
      <c r="J164" s="370">
        <f>J$86</f>
        <v>0</v>
      </c>
      <c r="K164" s="364">
        <f t="shared" si="27"/>
        <v>0</v>
      </c>
      <c r="L164" s="365"/>
    </row>
    <row r="165" spans="1:13" x14ac:dyDescent="0.2">
      <c r="A165" s="359">
        <f>IF(F165&lt;&gt;"",1+MAX($A$6:A164),"")</f>
        <v>107</v>
      </c>
      <c r="B165" s="83" t="s">
        <v>485</v>
      </c>
      <c r="C165" s="360" t="s">
        <v>540</v>
      </c>
      <c r="D165" s="436"/>
      <c r="E165" s="362" t="s">
        <v>543</v>
      </c>
      <c r="F165" s="391">
        <f>4*4*0.5/27</f>
        <v>0.29629629629629628</v>
      </c>
      <c r="G165" s="74">
        <v>0.1</v>
      </c>
      <c r="H165" s="75">
        <f t="shared" si="26"/>
        <v>0.32592592592592595</v>
      </c>
      <c r="I165" s="76" t="s">
        <v>458</v>
      </c>
      <c r="J165" s="370">
        <f>J$45</f>
        <v>0</v>
      </c>
      <c r="K165" s="364">
        <f t="shared" si="27"/>
        <v>0</v>
      </c>
      <c r="L165" s="365"/>
    </row>
    <row r="166" spans="1:13" x14ac:dyDescent="0.2">
      <c r="A166" s="359">
        <f>IF(F166&lt;&gt;"",1+MAX($A$6:A165),"")</f>
        <v>108</v>
      </c>
      <c r="B166" s="83" t="s">
        <v>485</v>
      </c>
      <c r="C166" s="360" t="s">
        <v>540</v>
      </c>
      <c r="D166" s="436"/>
      <c r="E166" s="362" t="s">
        <v>517</v>
      </c>
      <c r="F166" s="264">
        <f>F164-F165-3*3*2.5/27</f>
        <v>0.64814814814814803</v>
      </c>
      <c r="G166" s="74">
        <v>0.1</v>
      </c>
      <c r="H166" s="75">
        <f t="shared" si="26"/>
        <v>0.71296296296296291</v>
      </c>
      <c r="I166" s="76" t="s">
        <v>458</v>
      </c>
      <c r="J166" s="370">
        <f>J$87</f>
        <v>0</v>
      </c>
      <c r="K166" s="364">
        <f t="shared" si="27"/>
        <v>0</v>
      </c>
      <c r="L166" s="365"/>
    </row>
    <row r="167" spans="1:13" x14ac:dyDescent="0.2">
      <c r="A167" s="359" t="str">
        <f>IF(F167&lt;&gt;"",1+MAX($A$6:A166),"")</f>
        <v/>
      </c>
      <c r="B167" s="83"/>
      <c r="C167" s="360"/>
      <c r="D167" s="366"/>
      <c r="E167" s="392" t="s">
        <v>482</v>
      </c>
      <c r="F167" s="368"/>
      <c r="G167" s="369"/>
      <c r="H167" s="75"/>
      <c r="I167" s="76"/>
      <c r="J167" s="370"/>
      <c r="K167" s="364"/>
      <c r="L167" s="365"/>
      <c r="M167" s="371"/>
    </row>
    <row r="168" spans="1:13" ht="31.5" x14ac:dyDescent="0.2">
      <c r="A168" s="359">
        <f>IF(F168&lt;&gt;"",1+MAX($A$6:A167),"")</f>
        <v>109</v>
      </c>
      <c r="B168" s="83" t="s">
        <v>485</v>
      </c>
      <c r="C168" s="360" t="s">
        <v>532</v>
      </c>
      <c r="D168" s="436"/>
      <c r="E168" s="362" t="s">
        <v>758</v>
      </c>
      <c r="F168" s="264">
        <v>1</v>
      </c>
      <c r="G168" s="74">
        <v>0</v>
      </c>
      <c r="H168" s="75">
        <f t="shared" si="22"/>
        <v>1</v>
      </c>
      <c r="I168" s="76" t="s">
        <v>18</v>
      </c>
      <c r="J168" s="690">
        <v>0</v>
      </c>
      <c r="K168" s="364">
        <f t="shared" si="23"/>
        <v>0</v>
      </c>
      <c r="L168" s="365"/>
    </row>
    <row r="169" spans="1:13" x14ac:dyDescent="0.2">
      <c r="A169" s="359">
        <f>IF(F169&lt;&gt;"",1+MAX($A$6:A168),"")</f>
        <v>110</v>
      </c>
      <c r="B169" s="83" t="s">
        <v>485</v>
      </c>
      <c r="C169" s="360" t="s">
        <v>532</v>
      </c>
      <c r="D169" s="436"/>
      <c r="E169" s="362" t="s">
        <v>516</v>
      </c>
      <c r="F169" s="264">
        <f>3.14*6*6*0.25*6.25/27</f>
        <v>6.541666666666667</v>
      </c>
      <c r="G169" s="74">
        <v>0.1</v>
      </c>
      <c r="H169" s="75">
        <f t="shared" si="22"/>
        <v>7.1958333333333346</v>
      </c>
      <c r="I169" s="76" t="s">
        <v>458</v>
      </c>
      <c r="J169" s="370">
        <f>J$86</f>
        <v>0</v>
      </c>
      <c r="K169" s="364">
        <f t="shared" si="23"/>
        <v>0</v>
      </c>
      <c r="L169" s="365"/>
    </row>
    <row r="170" spans="1:13" x14ac:dyDescent="0.2">
      <c r="A170" s="359">
        <f>IF(F170&lt;&gt;"",1+MAX($A$6:A169),"")</f>
        <v>111</v>
      </c>
      <c r="B170" s="83" t="s">
        <v>485</v>
      </c>
      <c r="C170" s="360" t="s">
        <v>532</v>
      </c>
      <c r="D170" s="436"/>
      <c r="E170" s="362" t="s">
        <v>543</v>
      </c>
      <c r="F170" s="391">
        <f>3.14*6*6*0.25*0.5/27</f>
        <v>0.52333333333333332</v>
      </c>
      <c r="G170" s="74">
        <v>0.1</v>
      </c>
      <c r="H170" s="75">
        <f t="shared" si="22"/>
        <v>0.57566666666666666</v>
      </c>
      <c r="I170" s="76" t="s">
        <v>458</v>
      </c>
      <c r="J170" s="370">
        <f>J$45</f>
        <v>0</v>
      </c>
      <c r="K170" s="364">
        <f t="shared" si="23"/>
        <v>0</v>
      </c>
      <c r="L170" s="365"/>
    </row>
    <row r="171" spans="1:13" x14ac:dyDescent="0.2">
      <c r="A171" s="359">
        <f>IF(F171&lt;&gt;"",1+MAX($A$6:A170),"")</f>
        <v>112</v>
      </c>
      <c r="B171" s="83" t="s">
        <v>485</v>
      </c>
      <c r="C171" s="360" t="s">
        <v>532</v>
      </c>
      <c r="D171" s="436"/>
      <c r="E171" s="362" t="s">
        <v>517</v>
      </c>
      <c r="F171" s="264">
        <f>F169-F170-3.14*5*5*0.25*5.75/27</f>
        <v>1.8389351851851856</v>
      </c>
      <c r="G171" s="74">
        <v>0.1</v>
      </c>
      <c r="H171" s="75">
        <f t="shared" si="22"/>
        <v>2.0228287037037043</v>
      </c>
      <c r="I171" s="76" t="s">
        <v>458</v>
      </c>
      <c r="J171" s="370">
        <f>J$87</f>
        <v>0</v>
      </c>
      <c r="K171" s="364">
        <f t="shared" si="23"/>
        <v>0</v>
      </c>
      <c r="L171" s="365"/>
    </row>
    <row r="172" spans="1:13" x14ac:dyDescent="0.2">
      <c r="A172" s="359" t="str">
        <f>IF(F172&lt;&gt;"",1+MAX($A$6:A171),"")</f>
        <v/>
      </c>
      <c r="B172" s="83"/>
      <c r="C172" s="360"/>
      <c r="D172" s="366"/>
      <c r="E172" s="392" t="s">
        <v>482</v>
      </c>
      <c r="F172" s="368"/>
      <c r="G172" s="369"/>
      <c r="H172" s="75"/>
      <c r="I172" s="76"/>
      <c r="J172" s="370"/>
      <c r="K172" s="364"/>
      <c r="L172" s="365"/>
      <c r="M172" s="371"/>
    </row>
    <row r="173" spans="1:13" ht="31.5" x14ac:dyDescent="0.2">
      <c r="A173" s="359">
        <f>IF(F173&lt;&gt;"",1+MAX($A$6:A172),"")</f>
        <v>113</v>
      </c>
      <c r="B173" s="83" t="s">
        <v>485</v>
      </c>
      <c r="C173" s="360" t="s">
        <v>532</v>
      </c>
      <c r="D173" s="436"/>
      <c r="E173" s="362" t="s">
        <v>759</v>
      </c>
      <c r="F173" s="264">
        <v>1</v>
      </c>
      <c r="G173" s="74">
        <v>0</v>
      </c>
      <c r="H173" s="75">
        <f t="shared" si="22"/>
        <v>1</v>
      </c>
      <c r="I173" s="76" t="s">
        <v>18</v>
      </c>
      <c r="J173" s="690">
        <v>0</v>
      </c>
      <c r="K173" s="364">
        <f t="shared" si="23"/>
        <v>0</v>
      </c>
      <c r="L173" s="365"/>
    </row>
    <row r="174" spans="1:13" x14ac:dyDescent="0.2">
      <c r="A174" s="359">
        <f>IF(F174&lt;&gt;"",1+MAX($A$6:A173),"")</f>
        <v>114</v>
      </c>
      <c r="B174" s="83" t="s">
        <v>485</v>
      </c>
      <c r="C174" s="360" t="s">
        <v>532</v>
      </c>
      <c r="D174" s="436"/>
      <c r="E174" s="362" t="s">
        <v>516</v>
      </c>
      <c r="F174" s="264">
        <f>3.14*6*6*0.25*3.75/27</f>
        <v>3.9249999999999998</v>
      </c>
      <c r="G174" s="74">
        <v>0.1</v>
      </c>
      <c r="H174" s="75">
        <f t="shared" si="22"/>
        <v>4.3174999999999999</v>
      </c>
      <c r="I174" s="76" t="s">
        <v>458</v>
      </c>
      <c r="J174" s="370">
        <f>J$86</f>
        <v>0</v>
      </c>
      <c r="K174" s="364">
        <f t="shared" si="23"/>
        <v>0</v>
      </c>
      <c r="L174" s="365"/>
    </row>
    <row r="175" spans="1:13" x14ac:dyDescent="0.2">
      <c r="A175" s="359">
        <f>IF(F175&lt;&gt;"",1+MAX($A$6:A174),"")</f>
        <v>115</v>
      </c>
      <c r="B175" s="83" t="s">
        <v>485</v>
      </c>
      <c r="C175" s="360" t="s">
        <v>532</v>
      </c>
      <c r="D175" s="436"/>
      <c r="E175" s="362" t="s">
        <v>543</v>
      </c>
      <c r="F175" s="391">
        <f>3.14*6*6*0.25*0.5/27</f>
        <v>0.52333333333333332</v>
      </c>
      <c r="G175" s="74">
        <v>0.1</v>
      </c>
      <c r="H175" s="75">
        <f t="shared" si="22"/>
        <v>0.57566666666666666</v>
      </c>
      <c r="I175" s="76" t="s">
        <v>458</v>
      </c>
      <c r="J175" s="370">
        <f>J$45</f>
        <v>0</v>
      </c>
      <c r="K175" s="364">
        <f t="shared" si="23"/>
        <v>0</v>
      </c>
      <c r="L175" s="365"/>
    </row>
    <row r="176" spans="1:13" x14ac:dyDescent="0.2">
      <c r="A176" s="359">
        <f>IF(F176&lt;&gt;"",1+MAX($A$6:A175),"")</f>
        <v>116</v>
      </c>
      <c r="B176" s="83" t="s">
        <v>485</v>
      </c>
      <c r="C176" s="360" t="s">
        <v>532</v>
      </c>
      <c r="D176" s="436"/>
      <c r="E176" s="362" t="s">
        <v>517</v>
      </c>
      <c r="F176" s="264">
        <f>F174-F175-3.14*5*5*0.25*3/27</f>
        <v>1.221111111111111</v>
      </c>
      <c r="G176" s="74">
        <v>0.1</v>
      </c>
      <c r="H176" s="75">
        <f t="shared" si="22"/>
        <v>1.3432222222222223</v>
      </c>
      <c r="I176" s="76" t="s">
        <v>458</v>
      </c>
      <c r="J176" s="370">
        <f>J$87</f>
        <v>0</v>
      </c>
      <c r="K176" s="364">
        <f t="shared" si="23"/>
        <v>0</v>
      </c>
      <c r="L176" s="365"/>
    </row>
    <row r="177" spans="1:13" x14ac:dyDescent="0.2">
      <c r="A177" s="359" t="str">
        <f>IF(F177&lt;&gt;"",1+MAX($A$6:A176),"")</f>
        <v/>
      </c>
      <c r="B177" s="83"/>
      <c r="C177" s="360"/>
      <c r="D177" s="366"/>
      <c r="E177" s="392" t="s">
        <v>482</v>
      </c>
      <c r="F177" s="368"/>
      <c r="G177" s="369"/>
      <c r="H177" s="75"/>
      <c r="I177" s="76"/>
      <c r="J177" s="370"/>
      <c r="K177" s="364"/>
      <c r="L177" s="365"/>
      <c r="M177" s="371"/>
    </row>
    <row r="178" spans="1:13" x14ac:dyDescent="0.2">
      <c r="A178" s="359">
        <f>IF(F178&lt;&gt;"",1+MAX($A$6:A177),"")</f>
        <v>117</v>
      </c>
      <c r="B178" s="83" t="s">
        <v>485</v>
      </c>
      <c r="C178" s="360"/>
      <c r="D178" s="366"/>
      <c r="E178" s="372" t="s">
        <v>544</v>
      </c>
      <c r="F178" s="264">
        <v>1</v>
      </c>
      <c r="G178" s="74">
        <v>0</v>
      </c>
      <c r="H178" s="75">
        <f t="shared" si="22"/>
        <v>1</v>
      </c>
      <c r="I178" s="76" t="s">
        <v>18</v>
      </c>
      <c r="J178" s="363">
        <v>0</v>
      </c>
      <c r="K178" s="364">
        <f t="shared" si="23"/>
        <v>0</v>
      </c>
      <c r="L178" s="365"/>
      <c r="M178" s="371"/>
    </row>
    <row r="179" spans="1:13" ht="16.5" thickBot="1" x14ac:dyDescent="0.25">
      <c r="A179" s="359" t="str">
        <f>IF(F179&lt;&gt;"",1+MAX($A$6:A178),"")</f>
        <v/>
      </c>
      <c r="B179" s="83"/>
      <c r="C179" s="360"/>
      <c r="D179" s="366"/>
      <c r="E179" s="367" t="s">
        <v>482</v>
      </c>
      <c r="F179" s="368"/>
      <c r="G179" s="369"/>
      <c r="H179" s="75"/>
      <c r="I179" s="76"/>
      <c r="J179" s="370"/>
      <c r="K179" s="364"/>
      <c r="L179" s="365"/>
      <c r="M179" s="371"/>
    </row>
    <row r="180" spans="1:13" ht="16.5" thickBot="1" x14ac:dyDescent="0.25">
      <c r="A180" s="359" t="str">
        <f>IF(F180&lt;&gt;"",1+MAX($A$6:A179),"")</f>
        <v/>
      </c>
      <c r="B180" s="83"/>
      <c r="C180" s="266"/>
      <c r="D180" s="628"/>
      <c r="E180" s="432" t="s">
        <v>545</v>
      </c>
      <c r="F180" s="385"/>
      <c r="G180" s="386"/>
      <c r="H180" s="287"/>
      <c r="I180" s="288"/>
      <c r="J180" s="387"/>
      <c r="K180" s="629"/>
      <c r="L180" s="365"/>
    </row>
    <row r="181" spans="1:13" x14ac:dyDescent="0.2">
      <c r="A181" s="359">
        <f>IF(F181&lt;&gt;"",1+MAX($A$6:A180),"")</f>
        <v>118</v>
      </c>
      <c r="B181" s="83" t="s">
        <v>485</v>
      </c>
      <c r="C181" s="360" t="s">
        <v>532</v>
      </c>
      <c r="D181" s="436"/>
      <c r="E181" s="362" t="s">
        <v>546</v>
      </c>
      <c r="F181" s="264">
        <v>32.979999999999997</v>
      </c>
      <c r="G181" s="74">
        <v>0.1</v>
      </c>
      <c r="H181" s="75">
        <f t="shared" ref="H181:H189" si="28">F181*(1+G181)</f>
        <v>36.277999999999999</v>
      </c>
      <c r="I181" s="76" t="s">
        <v>13</v>
      </c>
      <c r="J181" s="363">
        <v>0</v>
      </c>
      <c r="K181" s="364">
        <f t="shared" ref="K181:K189" si="29">J181*H181</f>
        <v>0</v>
      </c>
      <c r="L181" s="365"/>
    </row>
    <row r="182" spans="1:13" x14ac:dyDescent="0.2">
      <c r="A182" s="359">
        <f>IF(F182&lt;&gt;"",1+MAX($A$6:A181),"")</f>
        <v>119</v>
      </c>
      <c r="B182" s="83" t="s">
        <v>485</v>
      </c>
      <c r="C182" s="360" t="s">
        <v>532</v>
      </c>
      <c r="D182" s="436"/>
      <c r="E182" s="362" t="s">
        <v>516</v>
      </c>
      <c r="F182" s="264">
        <f>F181*2.5*8/27</f>
        <v>24.429629629629627</v>
      </c>
      <c r="G182" s="74">
        <v>0.1</v>
      </c>
      <c r="H182" s="75">
        <f t="shared" si="28"/>
        <v>26.872592592592593</v>
      </c>
      <c r="I182" s="76" t="s">
        <v>458</v>
      </c>
      <c r="J182" s="370">
        <f>J$86</f>
        <v>0</v>
      </c>
      <c r="K182" s="364">
        <f t="shared" si="29"/>
        <v>0</v>
      </c>
      <c r="L182" s="365"/>
    </row>
    <row r="183" spans="1:13" x14ac:dyDescent="0.2">
      <c r="A183" s="359">
        <f>IF(F183&lt;&gt;"",1+MAX($A$6:A182),"")</f>
        <v>120</v>
      </c>
      <c r="B183" s="83" t="s">
        <v>485</v>
      </c>
      <c r="C183" s="360" t="s">
        <v>532</v>
      </c>
      <c r="D183" s="436"/>
      <c r="E183" s="362" t="s">
        <v>547</v>
      </c>
      <c r="F183" s="264">
        <f>F181*8*2</f>
        <v>527.67999999999995</v>
      </c>
      <c r="G183" s="74">
        <v>0.1</v>
      </c>
      <c r="H183" s="75">
        <f t="shared" si="28"/>
        <v>580.44799999999998</v>
      </c>
      <c r="I183" s="76" t="s">
        <v>16</v>
      </c>
      <c r="J183" s="363">
        <v>0</v>
      </c>
      <c r="K183" s="364">
        <f t="shared" si="29"/>
        <v>0</v>
      </c>
      <c r="L183" s="365"/>
    </row>
    <row r="184" spans="1:13" x14ac:dyDescent="0.2">
      <c r="A184" s="359">
        <f>IF(F184&lt;&gt;"",1+MAX($A$6:A183),"")</f>
        <v>121</v>
      </c>
      <c r="B184" s="83" t="s">
        <v>485</v>
      </c>
      <c r="C184" s="360" t="s">
        <v>532</v>
      </c>
      <c r="D184" s="436"/>
      <c r="E184" s="362" t="s">
        <v>534</v>
      </c>
      <c r="F184" s="264">
        <f>F181*0.67*2.5/27-3.14*0.34*0.34*0.25*F181*0.5/27</f>
        <v>1.9905592022222218</v>
      </c>
      <c r="G184" s="74">
        <v>0.1</v>
      </c>
      <c r="H184" s="75">
        <f t="shared" si="28"/>
        <v>2.1896151224444442</v>
      </c>
      <c r="I184" s="76" t="s">
        <v>458</v>
      </c>
      <c r="J184" s="370">
        <f>J$45</f>
        <v>0</v>
      </c>
      <c r="K184" s="364">
        <f t="shared" si="29"/>
        <v>0</v>
      </c>
      <c r="L184" s="365"/>
    </row>
    <row r="185" spans="1:13" x14ac:dyDescent="0.2">
      <c r="A185" s="359">
        <f>IF(F185&lt;&gt;"",1+MAX($A$6:A184),"")</f>
        <v>122</v>
      </c>
      <c r="B185" s="83" t="s">
        <v>485</v>
      </c>
      <c r="C185" s="360" t="s">
        <v>532</v>
      </c>
      <c r="D185" s="436"/>
      <c r="E185" s="362" t="s">
        <v>517</v>
      </c>
      <c r="F185" s="264">
        <f>F182-F184-3.14*0.34*0.34*0.25*F181/27</f>
        <v>22.328225868888886</v>
      </c>
      <c r="G185" s="74">
        <v>0.1</v>
      </c>
      <c r="H185" s="75">
        <f t="shared" si="28"/>
        <v>24.561048455777776</v>
      </c>
      <c r="I185" s="76" t="s">
        <v>458</v>
      </c>
      <c r="J185" s="370">
        <f>J$87</f>
        <v>0</v>
      </c>
      <c r="K185" s="364">
        <f t="shared" si="29"/>
        <v>0</v>
      </c>
      <c r="L185" s="365"/>
    </row>
    <row r="186" spans="1:13" ht="31.5" x14ac:dyDescent="0.2">
      <c r="A186" s="359" t="str">
        <f>IF(F186&lt;&gt;"",1+MAX($A$6:A185),"")</f>
        <v/>
      </c>
      <c r="B186" s="83"/>
      <c r="C186" s="360"/>
      <c r="D186" s="366"/>
      <c r="E186" s="504" t="s">
        <v>548</v>
      </c>
      <c r="F186" s="368"/>
      <c r="G186" s="369"/>
      <c r="H186" s="75"/>
      <c r="I186" s="76"/>
      <c r="J186" s="370"/>
      <c r="K186" s="364"/>
      <c r="L186" s="365"/>
      <c r="M186" s="371"/>
    </row>
    <row r="187" spans="1:13" x14ac:dyDescent="0.2">
      <c r="A187" s="359">
        <f>IF(F187&lt;&gt;"",1+MAX($A$6:A186),"")</f>
        <v>123</v>
      </c>
      <c r="B187" s="83" t="s">
        <v>485</v>
      </c>
      <c r="C187" s="360" t="s">
        <v>532</v>
      </c>
      <c r="D187" s="366"/>
      <c r="E187" s="372" t="s">
        <v>549</v>
      </c>
      <c r="F187" s="264">
        <v>1</v>
      </c>
      <c r="G187" s="74">
        <v>0</v>
      </c>
      <c r="H187" s="75">
        <f t="shared" si="28"/>
        <v>1</v>
      </c>
      <c r="I187" s="76" t="s">
        <v>18</v>
      </c>
      <c r="J187" s="363">
        <v>0</v>
      </c>
      <c r="K187" s="364">
        <f t="shared" si="29"/>
        <v>0</v>
      </c>
      <c r="L187" s="365"/>
      <c r="M187" s="371"/>
    </row>
    <row r="188" spans="1:13" x14ac:dyDescent="0.2">
      <c r="A188" s="359">
        <f>IF(F188&lt;&gt;"",1+MAX($A$6:A187),"")</f>
        <v>124</v>
      </c>
      <c r="B188" s="83" t="s">
        <v>485</v>
      </c>
      <c r="C188" s="360" t="s">
        <v>532</v>
      </c>
      <c r="D188" s="436"/>
      <c r="E188" s="362" t="s">
        <v>550</v>
      </c>
      <c r="F188" s="264">
        <v>1</v>
      </c>
      <c r="G188" s="74">
        <v>0</v>
      </c>
      <c r="H188" s="75">
        <f t="shared" si="28"/>
        <v>1</v>
      </c>
      <c r="I188" s="76" t="s">
        <v>18</v>
      </c>
      <c r="J188" s="363">
        <v>0</v>
      </c>
      <c r="K188" s="364">
        <f t="shared" si="29"/>
        <v>0</v>
      </c>
      <c r="L188" s="365"/>
    </row>
    <row r="189" spans="1:13" x14ac:dyDescent="0.2">
      <c r="A189" s="359">
        <f>IF(F189&lt;&gt;"",1+MAX($A$6:A188),"")</f>
        <v>125</v>
      </c>
      <c r="B189" s="83" t="s">
        <v>485</v>
      </c>
      <c r="C189" s="360" t="s">
        <v>532</v>
      </c>
      <c r="D189" s="436"/>
      <c r="E189" s="362" t="s">
        <v>551</v>
      </c>
      <c r="F189" s="264">
        <v>1</v>
      </c>
      <c r="G189" s="74">
        <v>0</v>
      </c>
      <c r="H189" s="75">
        <f t="shared" si="28"/>
        <v>1</v>
      </c>
      <c r="I189" s="76" t="s">
        <v>18</v>
      </c>
      <c r="J189" s="363">
        <v>0</v>
      </c>
      <c r="K189" s="364">
        <f t="shared" si="29"/>
        <v>0</v>
      </c>
      <c r="L189" s="365"/>
    </row>
    <row r="190" spans="1:13" ht="16.5" thickBot="1" x14ac:dyDescent="0.25">
      <c r="A190" s="359" t="str">
        <f>IF(F190&lt;&gt;"",1+MAX($A$6:A189),"")</f>
        <v/>
      </c>
      <c r="B190" s="83"/>
      <c r="C190" s="360"/>
      <c r="D190" s="366"/>
      <c r="E190" s="367" t="s">
        <v>482</v>
      </c>
      <c r="F190" s="368"/>
      <c r="G190" s="369"/>
      <c r="H190" s="75"/>
      <c r="I190" s="76"/>
      <c r="J190" s="370"/>
      <c r="K190" s="364"/>
      <c r="L190" s="365"/>
      <c r="M190" s="371"/>
    </row>
    <row r="191" spans="1:13" ht="16.5" thickBot="1" x14ac:dyDescent="0.25">
      <c r="A191" s="359" t="str">
        <f>IF(F191&lt;&gt;"",1+MAX($A$6:A190),"")</f>
        <v/>
      </c>
      <c r="B191" s="83"/>
      <c r="C191" s="266"/>
      <c r="D191" s="628"/>
      <c r="E191" s="432" t="s">
        <v>552</v>
      </c>
      <c r="F191" s="385"/>
      <c r="G191" s="386"/>
      <c r="H191" s="287"/>
      <c r="I191" s="288"/>
      <c r="J191" s="387"/>
      <c r="K191" s="629"/>
      <c r="L191" s="365"/>
    </row>
    <row r="192" spans="1:13" ht="31.5" x14ac:dyDescent="0.2">
      <c r="A192" s="359">
        <f>IF(F192&lt;&gt;"",1+MAX($A$6:A191),"")</f>
        <v>126</v>
      </c>
      <c r="B192" s="83" t="s">
        <v>485</v>
      </c>
      <c r="C192" s="360" t="s">
        <v>532</v>
      </c>
      <c r="D192" s="436"/>
      <c r="E192" s="362" t="s">
        <v>1053</v>
      </c>
      <c r="F192" s="264">
        <v>26.2</v>
      </c>
      <c r="G192" s="74">
        <v>0.1</v>
      </c>
      <c r="H192" s="75">
        <f t="shared" ref="H192:H202" si="30">F192*(1+G192)</f>
        <v>28.82</v>
      </c>
      <c r="I192" s="76" t="s">
        <v>13</v>
      </c>
      <c r="J192" s="363">
        <v>0</v>
      </c>
      <c r="K192" s="364">
        <f t="shared" ref="K192:K202" si="31">J192*H192</f>
        <v>0</v>
      </c>
      <c r="L192" s="365"/>
    </row>
    <row r="193" spans="1:13" x14ac:dyDescent="0.2">
      <c r="A193" s="359">
        <f>IF(F193&lt;&gt;"",1+MAX($A$6:A192),"")</f>
        <v>127</v>
      </c>
      <c r="B193" s="83" t="s">
        <v>485</v>
      </c>
      <c r="C193" s="360" t="s">
        <v>532</v>
      </c>
      <c r="D193" s="436"/>
      <c r="E193" s="362" t="s">
        <v>516</v>
      </c>
      <c r="F193" s="264">
        <f>F192*2.25*5/27</f>
        <v>10.916666666666666</v>
      </c>
      <c r="G193" s="74">
        <v>0.1</v>
      </c>
      <c r="H193" s="75">
        <f t="shared" si="30"/>
        <v>12.008333333333333</v>
      </c>
      <c r="I193" s="76" t="s">
        <v>458</v>
      </c>
      <c r="J193" s="370">
        <f>J$86</f>
        <v>0</v>
      </c>
      <c r="K193" s="364">
        <f t="shared" si="31"/>
        <v>0</v>
      </c>
      <c r="L193" s="365"/>
    </row>
    <row r="194" spans="1:13" x14ac:dyDescent="0.2">
      <c r="A194" s="359">
        <f>IF(F194&lt;&gt;"",1+MAX($A$6:A193),"")</f>
        <v>128</v>
      </c>
      <c r="B194" s="83" t="s">
        <v>485</v>
      </c>
      <c r="C194" s="360" t="s">
        <v>532</v>
      </c>
      <c r="D194" s="501"/>
      <c r="E194" s="362" t="s">
        <v>534</v>
      </c>
      <c r="F194" s="264">
        <f>F192*0.58*2.25/27-3.14*0.17*0.17*0.25*F192*0.5/27</f>
        <v>1.2553261796296293</v>
      </c>
      <c r="G194" s="74">
        <v>0.1</v>
      </c>
      <c r="H194" s="75">
        <f t="shared" si="30"/>
        <v>1.3808587975925923</v>
      </c>
      <c r="I194" s="76" t="s">
        <v>458</v>
      </c>
      <c r="J194" s="370">
        <f>J$45</f>
        <v>0</v>
      </c>
      <c r="K194" s="364">
        <f t="shared" si="31"/>
        <v>0</v>
      </c>
      <c r="L194" s="365"/>
    </row>
    <row r="195" spans="1:13" x14ac:dyDescent="0.2">
      <c r="A195" s="359">
        <f>IF(F195&lt;&gt;"",1+MAX($A$6:A194),"")</f>
        <v>129</v>
      </c>
      <c r="B195" s="83" t="s">
        <v>485</v>
      </c>
      <c r="C195" s="360" t="s">
        <v>532</v>
      </c>
      <c r="D195" s="436"/>
      <c r="E195" s="362" t="s">
        <v>517</v>
      </c>
      <c r="F195" s="264">
        <f>F193-F194-3.14*0.17*0.17*0.25*F192/27</f>
        <v>9.6393261796296308</v>
      </c>
      <c r="G195" s="74">
        <v>0.1</v>
      </c>
      <c r="H195" s="75">
        <f t="shared" si="30"/>
        <v>10.603258797592595</v>
      </c>
      <c r="I195" s="76" t="s">
        <v>458</v>
      </c>
      <c r="J195" s="370">
        <f>J$87</f>
        <v>0</v>
      </c>
      <c r="K195" s="364">
        <f t="shared" si="31"/>
        <v>0</v>
      </c>
      <c r="L195" s="365"/>
    </row>
    <row r="196" spans="1:13" x14ac:dyDescent="0.2">
      <c r="A196" s="359" t="str">
        <f>IF(F196&lt;&gt;"",1+MAX($A$6:A195),"")</f>
        <v/>
      </c>
      <c r="B196" s="83"/>
      <c r="C196" s="360"/>
      <c r="D196" s="366"/>
      <c r="E196" s="392" t="s">
        <v>482</v>
      </c>
      <c r="F196" s="368"/>
      <c r="G196" s="369"/>
      <c r="H196" s="75"/>
      <c r="I196" s="76"/>
      <c r="J196" s="370"/>
      <c r="K196" s="364"/>
      <c r="L196" s="365"/>
      <c r="M196" s="371"/>
    </row>
    <row r="197" spans="1:13" x14ac:dyDescent="0.2">
      <c r="A197" s="359">
        <f>IF(F197&lt;&gt;"",1+MAX($A$6:A196),"")</f>
        <v>130</v>
      </c>
      <c r="B197" s="83" t="s">
        <v>485</v>
      </c>
      <c r="C197" s="360" t="s">
        <v>532</v>
      </c>
      <c r="D197" s="436"/>
      <c r="E197" s="362" t="s">
        <v>553</v>
      </c>
      <c r="F197" s="264">
        <v>26.2</v>
      </c>
      <c r="G197" s="74">
        <v>0.1</v>
      </c>
      <c r="H197" s="75">
        <f t="shared" si="30"/>
        <v>28.82</v>
      </c>
      <c r="I197" s="76" t="s">
        <v>13</v>
      </c>
      <c r="J197" s="363">
        <v>0</v>
      </c>
      <c r="K197" s="364">
        <f t="shared" si="31"/>
        <v>0</v>
      </c>
      <c r="L197" s="365"/>
    </row>
    <row r="198" spans="1:13" x14ac:dyDescent="0.2">
      <c r="A198" s="359">
        <f>IF(F198&lt;&gt;"",1+MAX($A$6:A197),"")</f>
        <v>131</v>
      </c>
      <c r="B198" s="83" t="s">
        <v>485</v>
      </c>
      <c r="C198" s="360" t="s">
        <v>532</v>
      </c>
      <c r="D198" s="436"/>
      <c r="E198" s="362" t="s">
        <v>516</v>
      </c>
      <c r="F198" s="264">
        <f>F197*2.5*5/27</f>
        <v>12.12962962962963</v>
      </c>
      <c r="G198" s="74">
        <v>0.1</v>
      </c>
      <c r="H198" s="75">
        <f t="shared" si="30"/>
        <v>13.342592592592593</v>
      </c>
      <c r="I198" s="76" t="s">
        <v>458</v>
      </c>
      <c r="J198" s="370">
        <f>J$86</f>
        <v>0</v>
      </c>
      <c r="K198" s="364">
        <f t="shared" si="31"/>
        <v>0</v>
      </c>
      <c r="L198" s="365"/>
    </row>
    <row r="199" spans="1:13" x14ac:dyDescent="0.2">
      <c r="A199" s="359">
        <f>IF(F199&lt;&gt;"",1+MAX($A$6:A198),"")</f>
        <v>132</v>
      </c>
      <c r="B199" s="83" t="s">
        <v>485</v>
      </c>
      <c r="C199" s="360" t="s">
        <v>532</v>
      </c>
      <c r="D199" s="436"/>
      <c r="E199" s="362" t="s">
        <v>534</v>
      </c>
      <c r="F199" s="264">
        <f>F197*0.67*2.5/27-3.14*0.34*0.34*0.25*F197*0.5/27</f>
        <v>1.5813417555555558</v>
      </c>
      <c r="G199" s="74">
        <v>0.1</v>
      </c>
      <c r="H199" s="75">
        <f t="shared" si="30"/>
        <v>1.7394759311111114</v>
      </c>
      <c r="I199" s="76" t="s">
        <v>458</v>
      </c>
      <c r="J199" s="370">
        <f>J$45</f>
        <v>0</v>
      </c>
      <c r="K199" s="364">
        <f t="shared" si="31"/>
        <v>0</v>
      </c>
      <c r="L199" s="365"/>
    </row>
    <row r="200" spans="1:13" x14ac:dyDescent="0.2">
      <c r="A200" s="359">
        <f>IF(F200&lt;&gt;"",1+MAX($A$6:A199),"")</f>
        <v>133</v>
      </c>
      <c r="B200" s="83" t="s">
        <v>485</v>
      </c>
      <c r="C200" s="360" t="s">
        <v>532</v>
      </c>
      <c r="D200" s="436"/>
      <c r="E200" s="362" t="s">
        <v>517</v>
      </c>
      <c r="F200" s="264">
        <f>F198-F199-3.14*0.34*0.34*0.25*F197/27</f>
        <v>10.460230644444444</v>
      </c>
      <c r="G200" s="74">
        <v>0.1</v>
      </c>
      <c r="H200" s="75">
        <f t="shared" si="30"/>
        <v>11.50625370888889</v>
      </c>
      <c r="I200" s="76" t="s">
        <v>458</v>
      </c>
      <c r="J200" s="370">
        <f>J$87</f>
        <v>0</v>
      </c>
      <c r="K200" s="364">
        <f t="shared" si="31"/>
        <v>0</v>
      </c>
      <c r="L200" s="365"/>
    </row>
    <row r="201" spans="1:13" x14ac:dyDescent="0.2">
      <c r="A201" s="359" t="str">
        <f>IF(F201&lt;&gt;"",1+MAX($A$6:A200),"")</f>
        <v/>
      </c>
      <c r="B201" s="83"/>
      <c r="C201" s="360"/>
      <c r="D201" s="366"/>
      <c r="E201" s="392" t="s">
        <v>482</v>
      </c>
      <c r="F201" s="368"/>
      <c r="G201" s="369"/>
      <c r="H201" s="75"/>
      <c r="I201" s="76"/>
      <c r="J201" s="370"/>
      <c r="K201" s="364"/>
      <c r="L201" s="365"/>
      <c r="M201" s="371"/>
    </row>
    <row r="202" spans="1:13" x14ac:dyDescent="0.2">
      <c r="A202" s="359">
        <f>IF(F202&lt;&gt;"",1+MAX($A$6:A201),"")</f>
        <v>134</v>
      </c>
      <c r="B202" s="83" t="s">
        <v>485</v>
      </c>
      <c r="C202" s="360" t="s">
        <v>532</v>
      </c>
      <c r="D202" s="436"/>
      <c r="E202" s="362" t="s">
        <v>554</v>
      </c>
      <c r="F202" s="264">
        <v>1</v>
      </c>
      <c r="G202" s="74">
        <v>0</v>
      </c>
      <c r="H202" s="75">
        <f t="shared" si="30"/>
        <v>1</v>
      </c>
      <c r="I202" s="76" t="s">
        <v>18</v>
      </c>
      <c r="J202" s="363">
        <v>0</v>
      </c>
      <c r="K202" s="364">
        <f t="shared" si="31"/>
        <v>0</v>
      </c>
      <c r="L202" s="365"/>
    </row>
    <row r="203" spans="1:13" ht="16.5" thickBot="1" x14ac:dyDescent="0.25">
      <c r="A203" s="359" t="str">
        <f>IF(F203&lt;&gt;"",1+MAX($A$6:A202),"")</f>
        <v/>
      </c>
      <c r="B203" s="83"/>
      <c r="C203" s="360"/>
      <c r="D203" s="366"/>
      <c r="E203" s="367" t="s">
        <v>482</v>
      </c>
      <c r="F203" s="368"/>
      <c r="G203" s="369"/>
      <c r="H203" s="75"/>
      <c r="I203" s="76"/>
      <c r="J203" s="370"/>
      <c r="K203" s="364"/>
      <c r="L203" s="365"/>
      <c r="M203" s="371"/>
    </row>
    <row r="204" spans="1:13" ht="16.5" thickBot="1" x14ac:dyDescent="0.25">
      <c r="A204" s="359" t="str">
        <f>IF(F204&lt;&gt;"",1+MAX($A$6:A203),"")</f>
        <v/>
      </c>
      <c r="B204" s="83"/>
      <c r="C204" s="266"/>
      <c r="D204" s="628"/>
      <c r="E204" s="432" t="s">
        <v>555</v>
      </c>
      <c r="F204" s="385"/>
      <c r="G204" s="386"/>
      <c r="H204" s="287"/>
      <c r="I204" s="288"/>
      <c r="J204" s="387"/>
      <c r="K204" s="629"/>
      <c r="L204" s="365"/>
    </row>
    <row r="205" spans="1:13" x14ac:dyDescent="0.2">
      <c r="A205" s="359">
        <f>IF(F205&lt;&gt;"",1+MAX($A$6:A204),"")</f>
        <v>135</v>
      </c>
      <c r="B205" s="83" t="s">
        <v>485</v>
      </c>
      <c r="C205" s="360" t="s">
        <v>532</v>
      </c>
      <c r="D205" s="436"/>
      <c r="E205" s="362" t="s">
        <v>556</v>
      </c>
      <c r="F205" s="264">
        <v>68.239999999999995</v>
      </c>
      <c r="G205" s="74">
        <v>0.1</v>
      </c>
      <c r="H205" s="75">
        <f t="shared" ref="H205:H209" si="32">F205*(1+G205)</f>
        <v>75.064000000000007</v>
      </c>
      <c r="I205" s="76" t="s">
        <v>13</v>
      </c>
      <c r="J205" s="363">
        <v>0</v>
      </c>
      <c r="K205" s="364">
        <f t="shared" ref="K205:K209" si="33">J205*H205</f>
        <v>0</v>
      </c>
      <c r="L205" s="365"/>
    </row>
    <row r="206" spans="1:13" x14ac:dyDescent="0.2">
      <c r="A206" s="359">
        <f>IF(F206&lt;&gt;"",1+MAX($A$6:A205),"")</f>
        <v>136</v>
      </c>
      <c r="B206" s="83" t="s">
        <v>485</v>
      </c>
      <c r="C206" s="360" t="s">
        <v>532</v>
      </c>
      <c r="D206" s="436"/>
      <c r="E206" s="362" t="s">
        <v>557</v>
      </c>
      <c r="F206" s="264">
        <f>F205</f>
        <v>68.239999999999995</v>
      </c>
      <c r="G206" s="74">
        <v>0.1</v>
      </c>
      <c r="H206" s="75">
        <f t="shared" si="32"/>
        <v>75.064000000000007</v>
      </c>
      <c r="I206" s="76" t="s">
        <v>13</v>
      </c>
      <c r="J206" s="363">
        <v>0</v>
      </c>
      <c r="K206" s="364">
        <f t="shared" si="33"/>
        <v>0</v>
      </c>
      <c r="L206" s="365"/>
    </row>
    <row r="207" spans="1:13" x14ac:dyDescent="0.2">
      <c r="A207" s="359">
        <f>IF(F207&lt;&gt;"",1+MAX($A$6:A206),"")</f>
        <v>137</v>
      </c>
      <c r="B207" s="83" t="s">
        <v>485</v>
      </c>
      <c r="C207" s="360" t="s">
        <v>532</v>
      </c>
      <c r="D207" s="436"/>
      <c r="E207" s="362" t="s">
        <v>516</v>
      </c>
      <c r="F207" s="264">
        <f>F205*2.5*5/27</f>
        <v>31.592592592592592</v>
      </c>
      <c r="G207" s="74">
        <v>0.1</v>
      </c>
      <c r="H207" s="75">
        <f t="shared" si="32"/>
        <v>34.751851851851853</v>
      </c>
      <c r="I207" s="76" t="s">
        <v>458</v>
      </c>
      <c r="J207" s="370">
        <f>J$86</f>
        <v>0</v>
      </c>
      <c r="K207" s="364">
        <f t="shared" si="33"/>
        <v>0</v>
      </c>
      <c r="L207" s="365"/>
    </row>
    <row r="208" spans="1:13" x14ac:dyDescent="0.2">
      <c r="A208" s="359">
        <f>IF(F208&lt;&gt;"",1+MAX($A$6:A207),"")</f>
        <v>138</v>
      </c>
      <c r="B208" s="83" t="s">
        <v>485</v>
      </c>
      <c r="C208" s="360" t="s">
        <v>532</v>
      </c>
      <c r="D208" s="436"/>
      <c r="E208" s="362" t="s">
        <v>534</v>
      </c>
      <c r="F208" s="264">
        <f>F205*0.67*2.5/27-3.14*0.34*0.34*0.25*F205*0.5/27</f>
        <v>4.1187313511111103</v>
      </c>
      <c r="G208" s="74">
        <v>0.1</v>
      </c>
      <c r="H208" s="75">
        <f t="shared" si="32"/>
        <v>4.5306044862222219</v>
      </c>
      <c r="I208" s="76" t="s">
        <v>458</v>
      </c>
      <c r="J208" s="370">
        <f>J$45</f>
        <v>0</v>
      </c>
      <c r="K208" s="364">
        <f t="shared" si="33"/>
        <v>0</v>
      </c>
      <c r="L208" s="365"/>
    </row>
    <row r="209" spans="1:13" x14ac:dyDescent="0.2">
      <c r="A209" s="359">
        <f>IF(F209&lt;&gt;"",1+MAX($A$6:A208),"")</f>
        <v>139</v>
      </c>
      <c r="B209" s="83" t="s">
        <v>485</v>
      </c>
      <c r="C209" s="360" t="s">
        <v>532</v>
      </c>
      <c r="D209" s="436"/>
      <c r="E209" s="362" t="s">
        <v>517</v>
      </c>
      <c r="F209" s="264">
        <f>F207-F208-3.14*0.34*0.34*0.25*F205/27</f>
        <v>27.244509128888886</v>
      </c>
      <c r="G209" s="74">
        <v>0.1</v>
      </c>
      <c r="H209" s="75">
        <f t="shared" si="32"/>
        <v>29.968960041777777</v>
      </c>
      <c r="I209" s="76" t="s">
        <v>458</v>
      </c>
      <c r="J209" s="370">
        <f>J$87</f>
        <v>0</v>
      </c>
      <c r="K209" s="364">
        <f t="shared" si="33"/>
        <v>0</v>
      </c>
      <c r="L209" s="365"/>
    </row>
    <row r="210" spans="1:13" ht="16.5" thickBot="1" x14ac:dyDescent="0.25">
      <c r="A210" s="359" t="str">
        <f>IF(F210&lt;&gt;"",1+MAX($A$6:A209),"")</f>
        <v/>
      </c>
      <c r="B210" s="83"/>
      <c r="C210" s="360"/>
      <c r="D210" s="366"/>
      <c r="E210" s="367" t="s">
        <v>482</v>
      </c>
      <c r="F210" s="368"/>
      <c r="G210" s="369"/>
      <c r="H210" s="75"/>
      <c r="I210" s="76"/>
      <c r="J210" s="370"/>
      <c r="K210" s="364"/>
      <c r="L210" s="365"/>
      <c r="M210" s="371"/>
    </row>
    <row r="211" spans="1:13" ht="16.5" thickBot="1" x14ac:dyDescent="0.25">
      <c r="A211" s="359" t="str">
        <f>IF(F211&lt;&gt;"",1+MAX($A$6:A210),"")</f>
        <v/>
      </c>
      <c r="B211" s="83"/>
      <c r="C211" s="266"/>
      <c r="D211" s="628"/>
      <c r="E211" s="432" t="s">
        <v>558</v>
      </c>
      <c r="F211" s="385"/>
      <c r="G211" s="386"/>
      <c r="H211" s="287"/>
      <c r="I211" s="288"/>
      <c r="J211" s="387"/>
      <c r="K211" s="629"/>
      <c r="L211" s="365"/>
    </row>
    <row r="212" spans="1:13" x14ac:dyDescent="0.2">
      <c r="A212" s="359">
        <f>IF(F212&lt;&gt;"",1+MAX($A$6:A211),"")</f>
        <v>140</v>
      </c>
      <c r="B212" s="83" t="s">
        <v>485</v>
      </c>
      <c r="C212" s="360" t="s">
        <v>532</v>
      </c>
      <c r="D212" s="366"/>
      <c r="E212" s="372" t="s">
        <v>559</v>
      </c>
      <c r="F212" s="264">
        <v>25.78</v>
      </c>
      <c r="G212" s="74">
        <v>0.1</v>
      </c>
      <c r="H212" s="75">
        <f t="shared" ref="H212:H215" si="34">F212*(1+G212)</f>
        <v>28.358000000000004</v>
      </c>
      <c r="I212" s="76" t="s">
        <v>13</v>
      </c>
      <c r="J212" s="363">
        <v>0</v>
      </c>
      <c r="K212" s="364">
        <f t="shared" ref="K212:K215" si="35">J212*H212</f>
        <v>0</v>
      </c>
      <c r="L212" s="365"/>
      <c r="M212" s="371"/>
    </row>
    <row r="213" spans="1:13" x14ac:dyDescent="0.2">
      <c r="A213" s="359">
        <f>IF(F213&lt;&gt;"",1+MAX($A$6:A212),"")</f>
        <v>141</v>
      </c>
      <c r="B213" s="83" t="s">
        <v>485</v>
      </c>
      <c r="C213" s="360" t="s">
        <v>532</v>
      </c>
      <c r="D213" s="436"/>
      <c r="E213" s="362" t="s">
        <v>516</v>
      </c>
      <c r="F213" s="264">
        <f>F212*2.25*4/27</f>
        <v>8.5933333333333337</v>
      </c>
      <c r="G213" s="74">
        <v>0.1</v>
      </c>
      <c r="H213" s="75">
        <f t="shared" si="34"/>
        <v>9.4526666666666674</v>
      </c>
      <c r="I213" s="76" t="s">
        <v>458</v>
      </c>
      <c r="J213" s="370">
        <f>J$86</f>
        <v>0</v>
      </c>
      <c r="K213" s="364">
        <f t="shared" si="35"/>
        <v>0</v>
      </c>
      <c r="L213" s="365"/>
    </row>
    <row r="214" spans="1:13" x14ac:dyDescent="0.2">
      <c r="A214" s="359">
        <f>IF(F214&lt;&gt;"",1+MAX($A$6:A213),"")</f>
        <v>142</v>
      </c>
      <c r="B214" s="83" t="s">
        <v>485</v>
      </c>
      <c r="C214" s="360" t="s">
        <v>532</v>
      </c>
      <c r="D214" s="501"/>
      <c r="E214" s="362" t="s">
        <v>560</v>
      </c>
      <c r="F214" s="264">
        <f>F212*0.5*2.25/27-3.14*0.17*0.17*0.25*F212*0.5/27</f>
        <v>1.0633359635185187</v>
      </c>
      <c r="G214" s="74">
        <v>0.1</v>
      </c>
      <c r="H214" s="75">
        <f t="shared" si="34"/>
        <v>1.1696695598703706</v>
      </c>
      <c r="I214" s="76" t="s">
        <v>458</v>
      </c>
      <c r="J214" s="363">
        <v>0</v>
      </c>
      <c r="K214" s="364">
        <f t="shared" si="35"/>
        <v>0</v>
      </c>
      <c r="L214" s="365"/>
    </row>
    <row r="215" spans="1:13" x14ac:dyDescent="0.2">
      <c r="A215" s="359">
        <f>IF(F215&lt;&gt;"",1+MAX($A$6:A214),"")</f>
        <v>143</v>
      </c>
      <c r="B215" s="83" t="s">
        <v>485</v>
      </c>
      <c r="C215" s="360" t="s">
        <v>532</v>
      </c>
      <c r="D215" s="436"/>
      <c r="E215" s="362" t="s">
        <v>517</v>
      </c>
      <c r="F215" s="264">
        <f>F213-F214-3.14*0.17*0.17*0.25*F212/27</f>
        <v>7.508335963518519</v>
      </c>
      <c r="G215" s="74">
        <v>0.1</v>
      </c>
      <c r="H215" s="75">
        <f t="shared" si="34"/>
        <v>8.2591695598703723</v>
      </c>
      <c r="I215" s="76" t="s">
        <v>458</v>
      </c>
      <c r="J215" s="370">
        <f>J$87</f>
        <v>0</v>
      </c>
      <c r="K215" s="364">
        <f t="shared" si="35"/>
        <v>0</v>
      </c>
      <c r="L215" s="365"/>
    </row>
    <row r="216" spans="1:13" ht="16.5" thickBot="1" x14ac:dyDescent="0.25">
      <c r="A216" s="359" t="str">
        <f>IF(F216&lt;&gt;"",1+MAX($A$6:A215),"")</f>
        <v/>
      </c>
      <c r="B216" s="83"/>
      <c r="C216" s="360"/>
      <c r="D216" s="374"/>
      <c r="E216" s="627"/>
      <c r="F216" s="202"/>
      <c r="G216" s="203"/>
      <c r="H216" s="202"/>
      <c r="I216" s="204"/>
      <c r="J216" s="376"/>
      <c r="K216" s="377"/>
      <c r="L216" s="378"/>
    </row>
    <row r="217" spans="1:13" ht="16.5" thickBot="1" x14ac:dyDescent="0.25">
      <c r="A217" s="359" t="str">
        <f>IF(F217&lt;&gt;"",1+MAX($A$6:A216),"")</f>
        <v/>
      </c>
      <c r="B217" s="366"/>
      <c r="C217" s="366"/>
      <c r="D217" s="379"/>
      <c r="E217" s="380" t="s">
        <v>561</v>
      </c>
      <c r="F217" s="368"/>
      <c r="G217" s="381"/>
      <c r="H217" s="75"/>
      <c r="I217" s="76"/>
      <c r="J217" s="382"/>
      <c r="K217" s="42"/>
      <c r="L217" s="383">
        <f>SUM(K26:K216)</f>
        <v>0</v>
      </c>
      <c r="M217" s="371"/>
    </row>
    <row r="218" spans="1:13" x14ac:dyDescent="0.2">
      <c r="A218" s="359" t="str">
        <f>IF(F218&lt;&gt;"",1+MAX($A$6:A217),"")</f>
        <v/>
      </c>
      <c r="B218" s="83"/>
      <c r="C218" s="360"/>
      <c r="D218" s="366"/>
      <c r="E218" s="367"/>
      <c r="F218" s="286"/>
      <c r="G218" s="369"/>
      <c r="H218" s="75"/>
      <c r="I218" s="76"/>
      <c r="J218" s="370"/>
      <c r="K218" s="364"/>
      <c r="L218" s="365"/>
      <c r="M218" s="371"/>
    </row>
    <row r="219" spans="1:13" ht="16.5" thickBot="1" x14ac:dyDescent="0.25">
      <c r="A219" s="395" t="str">
        <f>IF(F219&lt;&gt;"",1+MAX($A$6:A218),"")</f>
        <v/>
      </c>
      <c r="B219" s="396"/>
      <c r="C219" s="396"/>
      <c r="D219" s="396"/>
      <c r="E219" s="397"/>
      <c r="F219" s="398"/>
      <c r="G219" s="399"/>
      <c r="H219" s="399"/>
      <c r="I219" s="400"/>
      <c r="J219" s="401"/>
      <c r="K219" s="402"/>
      <c r="L219" s="403"/>
    </row>
    <row r="220" spans="1:13" s="7" customFormat="1" ht="16.5" thickBot="1" x14ac:dyDescent="0.25">
      <c r="A220" s="58" t="s">
        <v>12</v>
      </c>
      <c r="B220" s="59"/>
      <c r="C220" s="60"/>
      <c r="D220" s="60"/>
      <c r="E220" s="61"/>
      <c r="F220" s="62"/>
      <c r="G220" s="63"/>
      <c r="H220" s="63"/>
      <c r="I220" s="64"/>
      <c r="J220" s="168"/>
      <c r="K220" s="171">
        <f>(SUM(K7:K219))/1</f>
        <v>0</v>
      </c>
      <c r="L220" s="630">
        <f>(SUM(L7:L219))/1</f>
        <v>0</v>
      </c>
    </row>
    <row r="221" spans="1:13" s="7" customFormat="1" ht="16.5" thickBot="1" x14ac:dyDescent="0.25">
      <c r="A221" s="176" t="s">
        <v>34</v>
      </c>
      <c r="B221" s="177"/>
      <c r="C221" s="178"/>
      <c r="D221" s="178"/>
      <c r="E221" s="179"/>
      <c r="F221" s="180"/>
      <c r="G221" s="181"/>
      <c r="H221" s="181"/>
      <c r="I221" s="182"/>
      <c r="J221" s="185">
        <v>0.2</v>
      </c>
      <c r="K221" s="183">
        <f>J221*K220</f>
        <v>0</v>
      </c>
      <c r="L221" s="184"/>
    </row>
    <row r="222" spans="1:13" s="7" customFormat="1" ht="16.5" thickBot="1" x14ac:dyDescent="0.25">
      <c r="A222" s="172" t="s">
        <v>35</v>
      </c>
      <c r="B222" s="52"/>
      <c r="C222" s="53"/>
      <c r="D222" s="53"/>
      <c r="E222" s="54"/>
      <c r="F222" s="55"/>
      <c r="G222" s="56"/>
      <c r="H222" s="57"/>
      <c r="I222" s="53"/>
      <c r="J222" s="170"/>
      <c r="K222" s="173">
        <f>SUM(K220:K221)</f>
        <v>0</v>
      </c>
      <c r="L222" s="174"/>
    </row>
    <row r="223" spans="1:13" x14ac:dyDescent="0.2">
      <c r="A223" s="404" t="s">
        <v>562</v>
      </c>
      <c r="B223" s="505"/>
      <c r="C223" s="505"/>
      <c r="D223" s="505"/>
      <c r="E223" s="631"/>
      <c r="F223" s="632"/>
      <c r="G223" s="633"/>
      <c r="H223" s="633"/>
      <c r="I223" s="505"/>
      <c r="K223" s="506"/>
      <c r="L223" s="295"/>
    </row>
    <row r="224" spans="1:13" ht="16.5" thickBot="1" x14ac:dyDescent="0.25">
      <c r="A224" s="411" t="s">
        <v>563</v>
      </c>
      <c r="B224" s="412"/>
      <c r="C224" s="412"/>
      <c r="D224" s="412"/>
      <c r="E224" s="413"/>
      <c r="F224" s="414"/>
      <c r="G224" s="415"/>
      <c r="H224" s="415"/>
      <c r="I224" s="412"/>
      <c r="J224" s="416"/>
      <c r="K224" s="417"/>
      <c r="L224" s="296"/>
    </row>
  </sheetData>
  <pageMargins left="0.25" right="0.25" top="0.75" bottom="0.75" header="0.3" footer="0.3"/>
  <pageSetup paperSize="9" scale="81" fitToHeight="0" orientation="landscape" r:id="rId1"/>
  <headerFooter>
    <oddFooter>&amp;C&amp;P of &amp;N</oddFooter>
  </headerFooter>
  <rowBreaks count="2" manualBreakCount="2">
    <brk id="82" max="11" man="1"/>
    <brk id="9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3"/>
  <sheetViews>
    <sheetView view="pageBreakPreview" zoomScale="90" zoomScaleNormal="90" zoomScaleSheetLayoutView="90" workbookViewId="0"/>
  </sheetViews>
  <sheetFormatPr defaultRowHeight="15" x14ac:dyDescent="0.25"/>
  <cols>
    <col min="1" max="1" width="13" style="251" customWidth="1"/>
    <col min="2" max="2" width="34.44140625" style="251" customWidth="1"/>
    <col min="3" max="3" width="8.88671875" style="251"/>
    <col min="4" max="4" width="6.6640625" style="259" customWidth="1"/>
    <col min="5" max="16384" width="8.88671875" style="251"/>
  </cols>
  <sheetData>
    <row r="1" spans="1:4" ht="17.25" customHeight="1" x14ac:dyDescent="0.25">
      <c r="A1" s="696" t="s">
        <v>170</v>
      </c>
      <c r="B1" s="697"/>
      <c r="C1" s="698"/>
      <c r="D1" s="693"/>
    </row>
    <row r="2" spans="1:4" ht="17.25" customHeight="1" thickBot="1" x14ac:dyDescent="0.3">
      <c r="A2" s="699" t="s">
        <v>171</v>
      </c>
      <c r="B2" s="694"/>
      <c r="C2" s="695"/>
      <c r="D2" s="700"/>
    </row>
    <row r="3" spans="1:4" ht="16.5" thickBot="1" x14ac:dyDescent="0.3">
      <c r="A3" s="702" t="s">
        <v>172</v>
      </c>
      <c r="B3" s="703" t="s">
        <v>173</v>
      </c>
      <c r="C3" s="703" t="s">
        <v>38</v>
      </c>
      <c r="D3" s="704" t="s">
        <v>174</v>
      </c>
    </row>
    <row r="4" spans="1:4" ht="15.75" x14ac:dyDescent="0.25">
      <c r="A4" s="701" t="str">
        <f>IF(C4&lt;&gt;"",1+MAX($A3:A$4),"")</f>
        <v/>
      </c>
      <c r="B4" s="253"/>
      <c r="C4" s="261"/>
      <c r="D4" s="683"/>
    </row>
    <row r="5" spans="1:4" ht="15.75" x14ac:dyDescent="0.25">
      <c r="A5" s="262">
        <f>IF(C5&lt;&gt;"",1+MAX($A4:A$4),"")</f>
        <v>1</v>
      </c>
      <c r="B5" s="254" t="s">
        <v>182</v>
      </c>
      <c r="C5" s="256">
        <v>53</v>
      </c>
      <c r="D5" s="684" t="s">
        <v>18</v>
      </c>
    </row>
    <row r="6" spans="1:4" ht="15.75" x14ac:dyDescent="0.25">
      <c r="A6" s="262">
        <f>IF(C6&lt;&gt;"",1+MAX($A$4:A5),"")</f>
        <v>2</v>
      </c>
      <c r="B6" s="254" t="s">
        <v>184</v>
      </c>
      <c r="C6" s="256">
        <v>253</v>
      </c>
      <c r="D6" s="684" t="s">
        <v>18</v>
      </c>
    </row>
    <row r="7" spans="1:4" ht="15.75" x14ac:dyDescent="0.25">
      <c r="A7" s="262">
        <f>IF(C7&lt;&gt;"",1+MAX($A$4:A6),"")</f>
        <v>3</v>
      </c>
      <c r="B7" s="254" t="s">
        <v>186</v>
      </c>
      <c r="C7" s="256">
        <v>514</v>
      </c>
      <c r="D7" s="684" t="s">
        <v>18</v>
      </c>
    </row>
    <row r="8" spans="1:4" ht="15.75" x14ac:dyDescent="0.25">
      <c r="A8" s="262">
        <f>IF(C8&lt;&gt;"",1+MAX($A$4:A7),"")</f>
        <v>4</v>
      </c>
      <c r="B8" s="254" t="s">
        <v>188</v>
      </c>
      <c r="C8" s="256">
        <v>70</v>
      </c>
      <c r="D8" s="684" t="s">
        <v>18</v>
      </c>
    </row>
    <row r="9" spans="1:4" ht="15.75" x14ac:dyDescent="0.25">
      <c r="A9" s="262">
        <f>IF(C9&lt;&gt;"",1+MAX($A$4:A8),"")</f>
        <v>5</v>
      </c>
      <c r="B9" s="254" t="s">
        <v>190</v>
      </c>
      <c r="C9" s="256">
        <v>7</v>
      </c>
      <c r="D9" s="684" t="s">
        <v>18</v>
      </c>
    </row>
    <row r="10" spans="1:4" ht="15.75" x14ac:dyDescent="0.25">
      <c r="A10" s="262">
        <f>IF(C10&lt;&gt;"",1+MAX($A$4:A9),"")</f>
        <v>6</v>
      </c>
      <c r="B10" s="254" t="s">
        <v>192</v>
      </c>
      <c r="C10" s="256">
        <v>5</v>
      </c>
      <c r="D10" s="684" t="s">
        <v>18</v>
      </c>
    </row>
    <row r="11" spans="1:4" ht="15.75" x14ac:dyDescent="0.25">
      <c r="A11" s="262">
        <f>IF(C11&lt;&gt;"",1+MAX($A$4:A10),"")</f>
        <v>7</v>
      </c>
      <c r="B11" s="254" t="s">
        <v>213</v>
      </c>
      <c r="C11" s="256">
        <v>1572</v>
      </c>
      <c r="D11" s="684" t="s">
        <v>18</v>
      </c>
    </row>
    <row r="12" spans="1:4" ht="15.75" x14ac:dyDescent="0.25">
      <c r="A12" s="262">
        <f>IF(C12&lt;&gt;"",1+MAX($A$4:A11),"")</f>
        <v>8</v>
      </c>
      <c r="B12" s="254" t="s">
        <v>203</v>
      </c>
      <c r="C12" s="256">
        <v>1662</v>
      </c>
      <c r="D12" s="684" t="s">
        <v>18</v>
      </c>
    </row>
    <row r="13" spans="1:4" ht="15.75" x14ac:dyDescent="0.25">
      <c r="A13" s="262">
        <f>IF(C13&lt;&gt;"",1+MAX($A$4:A12),"")</f>
        <v>9</v>
      </c>
      <c r="B13" s="254" t="s">
        <v>219</v>
      </c>
      <c r="C13" s="256">
        <v>42</v>
      </c>
      <c r="D13" s="684" t="s">
        <v>18</v>
      </c>
    </row>
    <row r="14" spans="1:4" ht="15.75" x14ac:dyDescent="0.25">
      <c r="A14" s="262">
        <f>IF(C14&lt;&gt;"",1+MAX($A$4:A13),"")</f>
        <v>10</v>
      </c>
      <c r="B14" s="254" t="s">
        <v>262</v>
      </c>
      <c r="C14" s="256">
        <v>19</v>
      </c>
      <c r="D14" s="684" t="s">
        <v>18</v>
      </c>
    </row>
    <row r="15" spans="1:4" ht="15.75" x14ac:dyDescent="0.25">
      <c r="A15" s="262">
        <f>IF(C15&lt;&gt;"",1+MAX($A$4:A14),"")</f>
        <v>11</v>
      </c>
      <c r="B15" s="254" t="s">
        <v>254</v>
      </c>
      <c r="C15" s="256">
        <v>24</v>
      </c>
      <c r="D15" s="684" t="s">
        <v>18</v>
      </c>
    </row>
    <row r="16" spans="1:4" ht="15.75" x14ac:dyDescent="0.25">
      <c r="A16" s="262">
        <f>IF(C16&lt;&gt;"",1+MAX($A$4:A15),"")</f>
        <v>12</v>
      </c>
      <c r="B16" s="254" t="s">
        <v>237</v>
      </c>
      <c r="C16" s="256">
        <v>79</v>
      </c>
      <c r="D16" s="684" t="s">
        <v>18</v>
      </c>
    </row>
    <row r="17" spans="1:4" ht="15.75" x14ac:dyDescent="0.25">
      <c r="A17" s="262">
        <f>IF(C17&lt;&gt;"",1+MAX($A$4:A16),"")</f>
        <v>13</v>
      </c>
      <c r="B17" s="254" t="s">
        <v>238</v>
      </c>
      <c r="C17" s="256">
        <v>71</v>
      </c>
      <c r="D17" s="684" t="s">
        <v>18</v>
      </c>
    </row>
    <row r="18" spans="1:4" ht="15.75" x14ac:dyDescent="0.25">
      <c r="A18" s="262">
        <f>IF(C18&lt;&gt;"",1+MAX($A$4:A17),"")</f>
        <v>14</v>
      </c>
      <c r="B18" s="254" t="s">
        <v>248</v>
      </c>
      <c r="C18" s="256">
        <v>3</v>
      </c>
      <c r="D18" s="684" t="s">
        <v>18</v>
      </c>
    </row>
    <row r="19" spans="1:4" ht="15.75" x14ac:dyDescent="0.25">
      <c r="A19" s="262">
        <f>IF(C19&lt;&gt;"",1+MAX($A$4:A18),"")</f>
        <v>15</v>
      </c>
      <c r="B19" s="254" t="s">
        <v>255</v>
      </c>
      <c r="C19" s="256">
        <v>16</v>
      </c>
      <c r="D19" s="684" t="s">
        <v>18</v>
      </c>
    </row>
    <row r="20" spans="1:4" ht="15.75" x14ac:dyDescent="0.25">
      <c r="A20" s="262">
        <f>IF(C20&lt;&gt;"",1+MAX($A$4:A19),"")</f>
        <v>16</v>
      </c>
      <c r="B20" s="254" t="s">
        <v>341</v>
      </c>
      <c r="C20" s="256">
        <v>40</v>
      </c>
      <c r="D20" s="684" t="s">
        <v>13</v>
      </c>
    </row>
    <row r="21" spans="1:4" ht="15.75" x14ac:dyDescent="0.25">
      <c r="A21" s="262">
        <f>IF(C21&lt;&gt;"",1+MAX($A$4:A20),"")</f>
        <v>17</v>
      </c>
      <c r="B21" s="254" t="s">
        <v>342</v>
      </c>
      <c r="C21" s="256">
        <v>16</v>
      </c>
      <c r="D21" s="684" t="s">
        <v>13</v>
      </c>
    </row>
    <row r="22" spans="1:4" ht="15.75" x14ac:dyDescent="0.25">
      <c r="A22" s="262">
        <f>IF(C22&lt;&gt;"",1+MAX($A$4:A21),"")</f>
        <v>18</v>
      </c>
      <c r="B22" s="254" t="s">
        <v>230</v>
      </c>
      <c r="C22" s="256">
        <f>20*16</f>
        <v>320</v>
      </c>
      <c r="D22" s="684" t="s">
        <v>13</v>
      </c>
    </row>
    <row r="23" spans="1:4" ht="15.75" x14ac:dyDescent="0.25">
      <c r="A23" s="262">
        <f>IF(C23&lt;&gt;"",1+MAX($A$4:A22),"")</f>
        <v>19</v>
      </c>
      <c r="B23" s="254" t="s">
        <v>343</v>
      </c>
      <c r="C23" s="256">
        <v>176</v>
      </c>
      <c r="D23" s="684" t="s">
        <v>13</v>
      </c>
    </row>
    <row r="24" spans="1:4" ht="15.75" x14ac:dyDescent="0.25">
      <c r="A24" s="262">
        <f>IF(C24&lt;&gt;"",1+MAX($A$4:A23),"")</f>
        <v>20</v>
      </c>
      <c r="B24" s="254" t="s">
        <v>195</v>
      </c>
      <c r="C24" s="256">
        <v>22</v>
      </c>
      <c r="D24" s="684" t="s">
        <v>18</v>
      </c>
    </row>
    <row r="25" spans="1:4" ht="15.75" x14ac:dyDescent="0.25">
      <c r="A25" s="262">
        <f>IF(C25&lt;&gt;"",1+MAX($A$4:A24),"")</f>
        <v>21</v>
      </c>
      <c r="B25" s="254" t="s">
        <v>223</v>
      </c>
      <c r="C25" s="256">
        <v>11</v>
      </c>
      <c r="D25" s="684" t="s">
        <v>18</v>
      </c>
    </row>
    <row r="26" spans="1:4" ht="15.75" x14ac:dyDescent="0.25">
      <c r="A26" s="262">
        <f>IF(C26&lt;&gt;"",1+MAX($A$4:A25),"")</f>
        <v>22</v>
      </c>
      <c r="B26" s="254" t="s">
        <v>197</v>
      </c>
      <c r="C26" s="256">
        <v>284</v>
      </c>
      <c r="D26" s="684" t="s">
        <v>18</v>
      </c>
    </row>
    <row r="27" spans="1:4" ht="15.75" x14ac:dyDescent="0.25">
      <c r="A27" s="262">
        <f>IF(C27&lt;&gt;"",1+MAX($A$4:A26),"")</f>
        <v>23</v>
      </c>
      <c r="B27" s="254" t="s">
        <v>215</v>
      </c>
      <c r="C27" s="256">
        <v>96</v>
      </c>
      <c r="D27" s="684" t="s">
        <v>18</v>
      </c>
    </row>
    <row r="28" spans="1:4" ht="15.75" x14ac:dyDescent="0.25">
      <c r="A28" s="262">
        <f>IF(C28&lt;&gt;"",1+MAX($A$4:A27),"")</f>
        <v>24</v>
      </c>
      <c r="B28" s="254" t="s">
        <v>206</v>
      </c>
      <c r="C28" s="256">
        <v>294</v>
      </c>
      <c r="D28" s="684" t="s">
        <v>18</v>
      </c>
    </row>
    <row r="29" spans="1:4" ht="15.75" x14ac:dyDescent="0.25">
      <c r="A29" s="262">
        <f>IF(C29&lt;&gt;"",1+MAX($A$4:A28),"")</f>
        <v>25</v>
      </c>
      <c r="B29" s="254" t="s">
        <v>257</v>
      </c>
      <c r="C29" s="256">
        <v>146</v>
      </c>
      <c r="D29" s="684" t="s">
        <v>18</v>
      </c>
    </row>
    <row r="30" spans="1:4" ht="15.75" x14ac:dyDescent="0.25">
      <c r="A30" s="262">
        <f>IF(C30&lt;&gt;"",1+MAX($A$4:A29),"")</f>
        <v>26</v>
      </c>
      <c r="B30" s="254" t="s">
        <v>259</v>
      </c>
      <c r="C30" s="256">
        <v>584</v>
      </c>
      <c r="D30" s="684" t="s">
        <v>18</v>
      </c>
    </row>
    <row r="31" spans="1:4" ht="15.75" x14ac:dyDescent="0.25">
      <c r="A31" s="262">
        <f>IF(C31&lt;&gt;"",1+MAX($A$4:A30),"")</f>
        <v>27</v>
      </c>
      <c r="B31" s="254" t="s">
        <v>208</v>
      </c>
      <c r="C31" s="256">
        <v>4</v>
      </c>
      <c r="D31" s="684" t="s">
        <v>18</v>
      </c>
    </row>
    <row r="32" spans="1:4" ht="15.75" x14ac:dyDescent="0.25">
      <c r="A32" s="262">
        <f>IF(C32&lt;&gt;"",1+MAX($A$4:A31),"")</f>
        <v>28</v>
      </c>
      <c r="B32" s="254" t="s">
        <v>210</v>
      </c>
      <c r="C32" s="256">
        <v>8</v>
      </c>
      <c r="D32" s="684" t="s">
        <v>18</v>
      </c>
    </row>
    <row r="33" spans="1:4" ht="15.75" x14ac:dyDescent="0.25">
      <c r="A33" s="262">
        <f>IF(C33&lt;&gt;"",1+MAX($A$4:A32),"")</f>
        <v>29</v>
      </c>
      <c r="B33" s="254" t="s">
        <v>265</v>
      </c>
      <c r="C33" s="256">
        <v>42</v>
      </c>
      <c r="D33" s="684" t="s">
        <v>18</v>
      </c>
    </row>
    <row r="34" spans="1:4" ht="15.75" x14ac:dyDescent="0.25">
      <c r="A34" s="262">
        <f>IF(C34&lt;&gt;"",1+MAX($A$4:A33),"")</f>
        <v>30</v>
      </c>
      <c r="B34" s="254" t="s">
        <v>267</v>
      </c>
      <c r="C34" s="256">
        <v>22</v>
      </c>
      <c r="D34" s="684" t="s">
        <v>18</v>
      </c>
    </row>
    <row r="35" spans="1:4" ht="15.75" x14ac:dyDescent="0.25">
      <c r="A35" s="262">
        <f>IF(C35&lt;&gt;"",1+MAX($A$4:A34),"")</f>
        <v>31</v>
      </c>
      <c r="B35" s="254" t="s">
        <v>268</v>
      </c>
      <c r="C35" s="256">
        <v>63</v>
      </c>
      <c r="D35" s="684" t="s">
        <v>18</v>
      </c>
    </row>
    <row r="36" spans="1:4" ht="15.75" x14ac:dyDescent="0.25">
      <c r="A36" s="262">
        <f>IF(C36&lt;&gt;"",1+MAX($A$4:A35),"")</f>
        <v>32</v>
      </c>
      <c r="B36" s="254" t="s">
        <v>199</v>
      </c>
      <c r="C36" s="256">
        <v>73</v>
      </c>
      <c r="D36" s="684" t="s">
        <v>18</v>
      </c>
    </row>
    <row r="37" spans="1:4" ht="16.5" thickBot="1" x14ac:dyDescent="0.3">
      <c r="A37" s="262" t="str">
        <f>IF(C37&lt;&gt;"",1+MAX($A$4:A36),"")</f>
        <v/>
      </c>
      <c r="B37" s="254"/>
      <c r="C37" s="263"/>
      <c r="D37" s="684"/>
    </row>
    <row r="38" spans="1:4" ht="16.5" thickBot="1" x14ac:dyDescent="0.3">
      <c r="A38" s="262" t="str">
        <f>IF(C38&lt;&gt;"",1+MAX($A$4:A37),"")</f>
        <v/>
      </c>
      <c r="B38" s="255" t="s">
        <v>270</v>
      </c>
      <c r="C38" s="263"/>
      <c r="D38" s="684"/>
    </row>
    <row r="39" spans="1:4" ht="15.75" x14ac:dyDescent="0.25">
      <c r="A39" s="262" t="str">
        <f>IF(C39&lt;&gt;"",1+MAX($A$4:A38),"")</f>
        <v/>
      </c>
      <c r="B39" s="253"/>
      <c r="C39" s="263"/>
      <c r="D39" s="684"/>
    </row>
    <row r="40" spans="1:4" ht="15.75" x14ac:dyDescent="0.25">
      <c r="A40" s="262">
        <f>IF(C40&lt;&gt;"",1+MAX($A$4:A39),"")</f>
        <v>33</v>
      </c>
      <c r="B40" s="254" t="s">
        <v>271</v>
      </c>
      <c r="C40" s="256">
        <v>44</v>
      </c>
      <c r="D40" s="684" t="s">
        <v>18</v>
      </c>
    </row>
    <row r="41" spans="1:4" ht="15.75" x14ac:dyDescent="0.25">
      <c r="A41" s="262">
        <f>IF(C41&lt;&gt;"",1+MAX($A$4:A40),"")</f>
        <v>34</v>
      </c>
      <c r="B41" s="254" t="s">
        <v>273</v>
      </c>
      <c r="C41" s="256">
        <v>16</v>
      </c>
      <c r="D41" s="684" t="s">
        <v>18</v>
      </c>
    </row>
    <row r="42" spans="1:4" ht="15.75" x14ac:dyDescent="0.25">
      <c r="A42" s="262">
        <f>IF(C42&lt;&gt;"",1+MAX($A$4:A41),"")</f>
        <v>35</v>
      </c>
      <c r="B42" s="254" t="s">
        <v>275</v>
      </c>
      <c r="C42" s="256">
        <v>16</v>
      </c>
      <c r="D42" s="684" t="s">
        <v>18</v>
      </c>
    </row>
    <row r="43" spans="1:4" ht="15.75" x14ac:dyDescent="0.25">
      <c r="A43" s="262">
        <f>IF(C43&lt;&gt;"",1+MAX($A$4:A42),"")</f>
        <v>36</v>
      </c>
      <c r="B43" s="254" t="s">
        <v>276</v>
      </c>
      <c r="C43" s="256">
        <v>24</v>
      </c>
      <c r="D43" s="684" t="s">
        <v>18</v>
      </c>
    </row>
    <row r="44" spans="1:4" ht="15.75" x14ac:dyDescent="0.25">
      <c r="A44" s="262">
        <f>IF(C44&lt;&gt;"",1+MAX($A$4:A43),"")</f>
        <v>37</v>
      </c>
      <c r="B44" s="254" t="s">
        <v>278</v>
      </c>
      <c r="C44" s="256">
        <v>12</v>
      </c>
      <c r="D44" s="684" t="s">
        <v>18</v>
      </c>
    </row>
    <row r="45" spans="1:4" ht="15.75" x14ac:dyDescent="0.25">
      <c r="A45" s="262">
        <f>IF(C45&lt;&gt;"",1+MAX($A$4:A44),"")</f>
        <v>38</v>
      </c>
      <c r="B45" s="254" t="s">
        <v>280</v>
      </c>
      <c r="C45" s="256">
        <v>26</v>
      </c>
      <c r="D45" s="684" t="s">
        <v>18</v>
      </c>
    </row>
    <row r="46" spans="1:4" ht="15.75" x14ac:dyDescent="0.25">
      <c r="A46" s="262">
        <f>IF(C46&lt;&gt;"",1+MAX($A$4:A45),"")</f>
        <v>39</v>
      </c>
      <c r="B46" s="254" t="s">
        <v>281</v>
      </c>
      <c r="C46" s="256">
        <v>6</v>
      </c>
      <c r="D46" s="684" t="s">
        <v>18</v>
      </c>
    </row>
    <row r="47" spans="1:4" ht="30" x14ac:dyDescent="0.25">
      <c r="A47" s="262">
        <f>IF(C47&lt;&gt;"",1+MAX($A$4:A46),"")</f>
        <v>40</v>
      </c>
      <c r="B47" s="257" t="s">
        <v>283</v>
      </c>
      <c r="C47" s="256">
        <v>125</v>
      </c>
      <c r="D47" s="684" t="s">
        <v>18</v>
      </c>
    </row>
    <row r="48" spans="1:4" ht="30" x14ac:dyDescent="0.25">
      <c r="A48" s="262">
        <f>IF(C48&lt;&gt;"",1+MAX($A$4:A47),"")</f>
        <v>41</v>
      </c>
      <c r="B48" s="257" t="s">
        <v>285</v>
      </c>
      <c r="C48" s="256">
        <v>102</v>
      </c>
      <c r="D48" s="684" t="s">
        <v>18</v>
      </c>
    </row>
    <row r="49" spans="1:4" ht="15.75" x14ac:dyDescent="0.25">
      <c r="A49" s="262">
        <f>IF(C49&lt;&gt;"",1+MAX($A$4:A48),"")</f>
        <v>42</v>
      </c>
      <c r="B49" s="257" t="s">
        <v>287</v>
      </c>
      <c r="C49" s="256">
        <v>2</v>
      </c>
      <c r="D49" s="684" t="s">
        <v>18</v>
      </c>
    </row>
    <row r="50" spans="1:4" ht="15.75" x14ac:dyDescent="0.25">
      <c r="A50" s="262">
        <f>IF(C50&lt;&gt;"",1+MAX($A$4:A49),"")</f>
        <v>43</v>
      </c>
      <c r="B50" s="257" t="s">
        <v>289</v>
      </c>
      <c r="C50" s="256">
        <v>79</v>
      </c>
      <c r="D50" s="684" t="s">
        <v>18</v>
      </c>
    </row>
    <row r="51" spans="1:4" ht="15.75" x14ac:dyDescent="0.25">
      <c r="A51" s="262">
        <f>IF(C51&lt;&gt;"",1+MAX($A$4:A50),"")</f>
        <v>44</v>
      </c>
      <c r="B51" s="257" t="s">
        <v>291</v>
      </c>
      <c r="C51" s="256">
        <v>119</v>
      </c>
      <c r="D51" s="684" t="s">
        <v>18</v>
      </c>
    </row>
    <row r="52" spans="1:4" ht="15.75" x14ac:dyDescent="0.25">
      <c r="A52" s="262">
        <f>IF(C52&lt;&gt;"",1+MAX($A$4:A51),"")</f>
        <v>45</v>
      </c>
      <c r="B52" s="254" t="s">
        <v>293</v>
      </c>
      <c r="C52" s="256">
        <v>119</v>
      </c>
      <c r="D52" s="684" t="s">
        <v>18</v>
      </c>
    </row>
    <row r="53" spans="1:4" ht="16.5" thickBot="1" x14ac:dyDescent="0.3">
      <c r="A53" s="685" t="str">
        <f>IF(C53&lt;&gt;"",1+MAX($A$4:A52),"")</f>
        <v/>
      </c>
      <c r="B53" s="686"/>
      <c r="C53" s="687"/>
      <c r="D53" s="688"/>
    </row>
  </sheetData>
  <printOptions horizontalCentered="1" verticalCentered="1"/>
  <pageMargins left="1" right="1" top="1" bottom="1" header="0.5" footer="0.5"/>
  <pageSetup paperSize="140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64ABE80B-7EF6-444E-8C0F-EADD4C563A30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DETAILED ESTIMATE</vt:lpstr>
      <vt:lpstr>DETAILED LUMBER ORDER LIST</vt:lpstr>
      <vt:lpstr>TRUSSES</vt:lpstr>
      <vt:lpstr>MEP ESTIMATE</vt:lpstr>
      <vt:lpstr>SITEWORK</vt:lpstr>
      <vt:lpstr>CONSOLIDATED LUMBER ORDER LIST</vt:lpstr>
      <vt:lpstr>'DETAILED ESTIMATE'!Print_Area</vt:lpstr>
      <vt:lpstr>'MEP ESTIMATE'!Print_Area</vt:lpstr>
      <vt:lpstr>SITEWORK!Print_Area</vt:lpstr>
      <vt:lpstr>SUMMARY!Print_Area</vt:lpstr>
      <vt:lpstr>'DETAILED ESTIMATE'!Print_Titles</vt:lpstr>
      <vt:lpstr>SITEWORK!Print_Titles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2023-12-28T13:46:34Z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{64ABE80B-7EF6-444E-8C0F-EADD4C563A30}</vt:lpwstr>
  </property>
</Properties>
</file>